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slicers/slicer1.xml" ContentType="application/vnd.ms-excel.slicer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anpugroup-my.sharepoint.com/personal/muhammad_prawira_banpuindo_co_id/Documents/00. JBG File/00. Equipment/01. DAILY/03. DPR/2026/09/"/>
    </mc:Choice>
  </mc:AlternateContent>
  <xr:revisionPtr revIDLastSave="134" documentId="13_ncr:1_{7401BB4F-525E-40D1-802E-B1E5EB51234F}" xr6:coauthVersionLast="47" xr6:coauthVersionMax="47" xr10:uidLastSave="{95B8735D-2495-4773-8AC7-C4162DE491B3}"/>
  <bookViews>
    <workbookView xWindow="-108" yWindow="-108" windowWidth="23256" windowHeight="12456" tabRatio="803" xr2:uid="{00000000-000D-0000-FFFF-FFFF00000000}"/>
  </bookViews>
  <sheets>
    <sheet name="Dashboard" sheetId="31" r:id="rId1"/>
    <sheet name="Summary" sheetId="1" r:id="rId2"/>
    <sheet name="Actual" sheetId="4" r:id="rId3"/>
    <sheet name="Budget" sheetId="6" r:id="rId4"/>
    <sheet name="Equipment " sheetId="9" r:id="rId5"/>
    <sheet name="Graphic Production" sheetId="17" r:id="rId6"/>
    <sheet name="Graph" sheetId="13" state="hidden" r:id="rId7"/>
    <sheet name="Production per Tunnel" sheetId="19" r:id="rId8"/>
    <sheet name="Outlook" sheetId="5" r:id="rId9"/>
    <sheet name="MB" sheetId="32" r:id="rId10"/>
    <sheet name="Copy" sheetId="22" r:id="rId11"/>
    <sheet name="Coal" sheetId="24" r:id="rId12"/>
    <sheet name="Rainfall" sheetId="25" r:id="rId13"/>
    <sheet name="Val" sheetId="26" state="hidden" r:id="rId14"/>
    <sheet name="OB" sheetId="29" r:id="rId15"/>
    <sheet name="PIT Transaction" sheetId="30" r:id="rId16"/>
    <sheet name="Weat_Con" sheetId="21" r:id="rId17"/>
    <sheet name="Loading &amp; stock_ASLI" sheetId="14" state="hidden" r:id="rId18"/>
    <sheet name="Coal Stock Temporary" sheetId="18" state="hidden" r:id="rId19"/>
  </sheets>
  <definedNames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xlnm._FilterDatabase" localSheetId="11" hidden="1">Coal!$A$1:$N$11</definedName>
    <definedName name="_xlnm._FilterDatabase" localSheetId="15" hidden="1">'PIT Transaction'!$A$1:$N$1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asa" hidden="1">{#N/A,#N/A,FALSE,"M01";#N/A,#N/A,FALSE,"M02";#N/A,#N/A,FALSE,"M03";#N/A,#N/A,FALSE,"M04";#N/A,#N/A,FALSE,"M05";#N/A,#N/A,FALSE,"M08"}</definedName>
    <definedName name="ab" hidden="1">{#N/A,#N/A,FALSE,"M01";#N/A,#N/A,FALSE,"M02";#N/A,#N/A,FALSE,"M03";#N/A,#N/A,FALSE,"M04";#N/A,#N/A,FALSE,"M05";#N/A,#N/A,FALSE,"M08"}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nscount" hidden="1">6</definedName>
    <definedName name="april" hidden="1">{#N/A,#N/A,FALSE,"M01";#N/A,#N/A,FALSE,"M02";#N/A,#N/A,FALSE,"M03";#N/A,#N/A,FALSE,"M04";#N/A,#N/A,FALSE,"M05";#N/A,#N/A,FALSE,"M08"}</definedName>
    <definedName name="asa" hidden="1">{#N/A,#N/A,FALSE,"M06";#N/A,#N/A,FALSE,"M07"}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" hidden="1">{#N/A,#N/A,FALSE,"M01";#N/A,#N/A,FALSE,"M02";#N/A,#N/A,FALSE,"M03";#N/A,#N/A,FALSE,"M04";#N/A,#N/A,FALSE,"M05";#N/A,#N/A,FALSE,"M08"}</definedName>
    <definedName name="BARU" hidden="1">{#N/A,#N/A,FALSE,"M06";#N/A,#N/A,FALSE,"M07"}</definedName>
    <definedName name="basd">{#N/A,#N/A,FALSE,"M01";#N/A,#N/A,FALSE,"M02";#N/A,#N/A,FALSE,"M03";#N/A,#N/A,FALSE,"M04";#N/A,#N/A,FALSE,"M05";#N/A,#N/A,FALSE,"M08"}</definedName>
    <definedName name="basd_1">{#N/A,#N/A,FALSE,"M01";#N/A,#N/A,FALSE,"M02";#N/A,#N/A,FALSE,"M03";#N/A,#N/A,FALSE,"M04";#N/A,#N/A,FALSE,"M05";#N/A,#N/A,FALSE,"M08"}</definedName>
    <definedName name="basd_2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usinessUnit_10">NA()</definedName>
    <definedName name="BusinessUnit_2">NA()</definedName>
    <definedName name="cc" hidden="1">{#N/A,#N/A,FALSE,"QR";#N/A,#N/A,FALSE,"R02";#N/A,#N/A,FALSE,"R04";#N/A,#N/A,FALSE,"R05";#N/A,#N/A,FALSE,"R08"}</definedName>
    <definedName name="cdsfc" hidden="1">{#N/A,#N/A,FALSE,"M01";#N/A,#N/A,FALSE,"M02";#N/A,#N/A,FALSE,"M03";#N/A,#N/A,FALSE,"M04";#N/A,#N/A,FALSE,"M05";#N/A,#N/A,FALSE,"M08"}</definedName>
    <definedName name="Company_2">NA()</definedName>
    <definedName name="CostCenter_10">NA()</definedName>
    <definedName name="CostCenter_2">NA()</definedName>
    <definedName name="cxvx">{#N/A,#N/A,FALSE,"M01";#N/A,#N/A,FALSE,"M02";#N/A,#N/A,FALSE,"M03";#N/A,#N/A,FALSE,"M04";#N/A,#N/A,FALSE,"M05";#N/A,#N/A,FALSE,"M08"}</definedName>
    <definedName name="cxvx_1">{#N/A,#N/A,FALSE,"M01";#N/A,#N/A,FALSE,"M02";#N/A,#N/A,FALSE,"M03";#N/A,#N/A,FALSE,"M04";#N/A,#N/A,FALSE,"M05";#N/A,#N/A,FALSE,"M08"}</definedName>
    <definedName name="cxvx_2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ddf" hidden="1">{#N/A,#N/A,FALSE,"M01";#N/A,#N/A,FALSE,"M02";#N/A,#N/A,FALSE,"M03";#N/A,#N/A,FALSE,"M04";#N/A,#N/A,FALSE,"M05";#N/A,#N/A,FALSE,"M08"}</definedName>
    <definedName name="dfg" hidden="1">{#N/A,#N/A,FALSE,"M06";#N/A,#N/A,FALSE,"M07"}</definedName>
    <definedName name="dfvvdfv" hidden="1">{#N/A,#N/A,FALSE,"M01";#N/A,#N/A,FALSE,"M02";#N/A,#N/A,FALSE,"M03";#N/A,#N/A,FALSE,"M04";#N/A,#N/A,FALSE,"M05";#N/A,#N/A,FALSE,"M08"}</definedName>
    <definedName name="dzfcdsf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hidden="1">{#N/A,#N/A,FALSE,"M06";#N/A,#N/A,FALSE,"M07"}</definedName>
    <definedName name="ee" hidden="1">{#N/A,#N/A,FALSE,"M01";#N/A,#N/A,FALSE,"M02";#N/A,#N/A,FALSE,"M03";#N/A,#N/A,FALSE,"M04";#N/A,#N/A,FALSE,"M05";#N/A,#N/A,FALSE,"M08"}</definedName>
    <definedName name="eede_h1" hidden="1">{#N/A,#N/A,FALSE,"M01";#N/A,#N/A,FALSE,"M02";#N/A,#N/A,FALSE,"M03";#N/A,#N/A,FALSE,"M04";#N/A,#N/A,FALSE,"M05";#N/A,#N/A,FALSE,"M08"}</definedName>
    <definedName name="ees" hidden="1">{#N/A,#N/A,FALSE,"M01";#N/A,#N/A,FALSE,"M02";#N/A,#N/A,FALSE,"M03";#N/A,#N/A,FALSE,"M04";#N/A,#N/A,FALSE,"M05";#N/A,#N/A,FALSE,"M08"}</definedName>
    <definedName name="ere" hidden="1">{#N/A,#N/A,FALSE,"M01";#N/A,#N/A,FALSE,"M02";#N/A,#N/A,FALSE,"M03";#N/A,#N/A,FALSE,"M04";#N/A,#N/A,FALSE,"M05";#N/A,#N/A,FALSE,"M08"}</definedName>
    <definedName name="f" hidden="1">{#N/A,#N/A,FALSE,"M06";#N/A,#N/A,FALSE,"M07"}</definedName>
    <definedName name="ff" hidden="1">{#N/A,#N/A,FALSE,"M01";#N/A,#N/A,FALSE,"M02";#N/A,#N/A,FALSE,"M03";#N/A,#N/A,FALSE,"M04";#N/A,#N/A,FALSE,"M05";#N/A,#N/A,FALSE,"M08"}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ormal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fjfj" hidden="1">{#N/A,#N/A,FALSE,"M06";#N/A,#N/A,FALSE,"M07"}</definedName>
    <definedName name="gg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rg" hidden="1">{#N/A,#N/A,FALSE,"M06";#N/A,#N/A,FALSE,"M07"}</definedName>
    <definedName name="h" hidden="1">{#N/A,#N/A,FALSE,"M01";#N/A,#N/A,FALSE,"M02";#N/A,#N/A,FALSE,"M03";#N/A,#N/A,FALSE,"M04";#N/A,#N/A,FALSE,"M05";#N/A,#N/A,FALSE,"M08"}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mage_SNS" localSheetId="14">INDEX(#REF!,MATCH(#REF!,#REF!,0))</definedName>
    <definedName name="Image_SNS" localSheetId="15">INDEX(#REF!,MATCH(#REF!,#REF!,0))</definedName>
    <definedName name="Image_SNS">INDEX(#REF!,MATCH(#REF!,#REF!,0))</definedName>
    <definedName name="Image_TJP" localSheetId="14">INDEX(#REF!,MATCH(#REF!,#REF!,0))</definedName>
    <definedName name="Image_TJP" localSheetId="15">INDEX(#REF!,MATCH(#REF!,#REF!,0))</definedName>
    <definedName name="Image_TJP">INDEX(#REF!,MATCH(#REF!,#REF!,0))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oy" hidden="1">{"Valuation",#N/A,TRUE,"Valuation Summary";"Financial Statements",#N/A,TRUE,"Results";"Results",#N/A,TRUE,"Results";"Ratios",#N/A,TRUE,"Results";"P2 Summary",#N/A,TRUE,"Results"}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KK" hidden="1">{#N/A,#N/A,FALSE,"M01";#N/A,#N/A,FALSE,"M02";#N/A,#N/A,FALSE,"M03";#N/A,#N/A,FALSE,"M04";#N/A,#N/A,FALSE,"M05";#N/A,#N/A,FALSE,"M08"}</definedName>
    <definedName name="limcount" hidden="1">2</definedName>
    <definedName name="MM" hidden="1">{#N/A,#N/A,FALSE,"QR";#N/A,#N/A,FALSE,"R02";#N/A,#N/A,FALSE,"R04";#N/A,#N/A,FALSE,"R05";#N/A,#N/A,FALSE,"R08"}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_xlnm.Print_Area" localSheetId="2">Actual!$B$239:$P$261</definedName>
    <definedName name="_xlnm.Print_Area" localSheetId="3">Budget!$B$1:$Q$15</definedName>
    <definedName name="_xlnm.Print_Area" localSheetId="4">'Equipment '!$B$2:$Z$37</definedName>
    <definedName name="_xlnm.Print_Area" localSheetId="8">Outlook!$B$2:$R$25</definedName>
    <definedName name="_xlnm.Print_Area" localSheetId="15">'PIT Transaction'!$A$1:$N$1</definedName>
    <definedName name="_xlnm.Print_Area" localSheetId="1">Summary!$B$2:$W$15</definedName>
    <definedName name="Q" hidden="1">{#N/A,#N/A,FALSE,"M01";#N/A,#N/A,FALSE,"M02";#N/A,#N/A,FALSE,"M03";#N/A,#N/A,FALSE,"M04";#N/A,#N/A,FALSE,"M05";#N/A,#N/A,FALSE,"M08"}</definedName>
    <definedName name="qq" hidden="1">{#N/A,#N/A,FALSE,"M01";#N/A,#N/A,FALSE,"M02";#N/A,#N/A,FALSE,"M03";#N/A,#N/A,FALSE,"M04";#N/A,#N/A,FALSE,"M05";#N/A,#N/A,FALSE,"M08"}</definedName>
    <definedName name="RCP" hidden="1">{#N/A,#N/A,FALSE,"M01";#N/A,#N/A,FALSE,"M02";#N/A,#N/A,FALSE,"M03";#N/A,#N/A,FALSE,"M04";#N/A,#N/A,FALSE,"M05";#N/A,#N/A,FALSE,"M08"}</definedName>
    <definedName name="rcvfvcefve" hidden="1">{#N/A,#N/A,FALSE,"QR";#N/A,#N/A,FALSE,"R02";#N/A,#N/A,FALSE,"R04";#N/A,#N/A,FALSE,"R05";#N/A,#N/A,FALSE,"R08"}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klamasi" hidden="1">{#N/A,#N/A,FALSE,"M06";#N/A,#N/A,FALSE,"M07"}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sencount" hidden="1">2</definedName>
    <definedName name="sfsdfcxz" hidden="1">{#N/A,#N/A,FALSE,"M06";#N/A,#N/A,FALSE,"M07"}</definedName>
    <definedName name="Slicer_Day">#N/A</definedName>
    <definedName name="ss" hidden="1">{#N/A,#N/A,FALSE,"QR";#N/A,#N/A,FALSE,"R02";#N/A,#N/A,FALSE,"R04";#N/A,#N/A,FALSE,"R05";#N/A,#N/A,FALSE,"R08"}</definedName>
    <definedName name="sss" hidden="1">{#N/A,#N/A,FALSE,"QR";#N/A,#N/A,FALSE,"R02";#N/A,#N/A,FALSE,"R04";#N/A,#N/A,FALSE,"R05";#N/A,#N/A,FALSE,"R08"}</definedName>
    <definedName name="try" hidden="1">{#N/A,#N/A,FALSE,"QR";#N/A,#N/A,FALSE,"R02";#N/A,#N/A,FALSE,"R04";#N/A,#N/A,FALSE,"R05";#N/A,#N/A,FALSE,"R08"}</definedName>
    <definedName name="UIO" hidden="1">{#N/A,#N/A,FALSE,"QR";#N/A,#N/A,FALSE,"R02";#N/A,#N/A,FALSE,"R04";#N/A,#N/A,FALSE,"R05";#N/A,#N/A,FALSE,"R08"}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w" hidden="1">{#N/A,#N/A,FALSE,"M06";#N/A,#N/A,FALSE,"M07"}</definedName>
    <definedName name="Weat_Ico">INDEX(Weat_Con!$C$2:$C$3,MATCH(Weat_Con!$B$5,Weat_Con!$B$2:$B$3,0))</definedName>
    <definedName name="weather_ImgS">INDEX(#REF!,MATCH(#REF!,#REF!,0))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hidden="1">{"Assumptions",#N/A,FALSE,"ASSUMPTION";"Cash Minimum",#N/A,FALSE,"ASSUMPTION"}</definedName>
    <definedName name="wrn.Variance." hidden="1">{#N/A,#N/A,FALSE,"M06";#N/A,#N/A,FALSE,"M07"}</definedName>
    <definedName name="wv" hidden="1">{#N/A,#N/A,FALSE,"M06";#N/A,#N/A,FALSE,"M07"}</definedName>
    <definedName name="wvr" hidden="1">{#N/A,#N/A,FALSE,"M06";#N/A,#N/A,FALSE,"M07"}</definedName>
    <definedName name="ww" hidden="1">{#N/A,#N/A,FALSE,"QR";#N/A,#N/A,FALSE,"R02";#N/A,#N/A,FALSE,"R04";#N/A,#N/A,FALSE,"R05";#N/A,#N/A,FALSE,"R08"}</definedName>
    <definedName name="www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TYT" hidden="1">{#N/A,#N/A,FALSE,"QR";#N/A,#N/A,FALSE,"R02";#N/A,#N/A,FALSE,"R04";#N/A,#N/A,FALSE,"R05";#N/A,#N/A,FALSE,"R08"}</definedName>
    <definedName name="Z" hidden="1">{#N/A,#N/A,FALSE,"M01";#N/A,#N/A,FALSE,"M02";#N/A,#N/A,FALSE,"M03";#N/A,#N/A,FALSE,"M04";#N/A,#N/A,FALSE,"M05";#N/A,#N/A,FALSE,"M08"}</definedName>
    <definedName name="zzz" hidden="1">{#N/A,#N/A,FALSE,"M01";#N/A,#N/A,FALSE,"M02";#N/A,#N/A,FALSE,"M03";#N/A,#N/A,FALSE,"M04";#N/A,#N/A,FALSE,"M05";#N/A,#N/A,FALSE,"M08"}</definedName>
  </definedNames>
  <calcPr calcId="191029"/>
  <extLst>
    <ext xmlns:x14="http://schemas.microsoft.com/office/spreadsheetml/2009/9/main" uri="{876F7934-8845-4945-9796-88D515C7AA90}">
      <x14:pivotCaches>
        <pivotCache cacheId="0" r:id="rId20"/>
      </x14:pivotCaches>
    </ext>
    <ext xmlns:x14="http://schemas.microsoft.com/office/spreadsheetml/2009/9/main" uri="{BBE1A952-AA13-448e-AADC-164F8A28A991}">
      <x14:slicerCaches>
        <x14:slicerCache r:id="rId2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0" i="4" l="1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8" i="4"/>
  <c r="F29" i="4"/>
  <c r="F30" i="4"/>
  <c r="F27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6" i="4"/>
  <c r="F45" i="4"/>
  <c r="F44" i="4"/>
  <c r="F43" i="4"/>
  <c r="E231" i="4"/>
  <c r="AJ231" i="4"/>
  <c r="R67" i="4" l="1"/>
  <c r="Q94" i="4"/>
  <c r="F231" i="4"/>
  <c r="G231" i="4"/>
  <c r="I231" i="4"/>
  <c r="J231" i="4"/>
  <c r="K231" i="4"/>
  <c r="L231" i="4"/>
  <c r="M231" i="4"/>
  <c r="N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41" i="4" l="1"/>
  <c r="AI41" i="4"/>
  <c r="AH41" i="4"/>
  <c r="AG41" i="4"/>
  <c r="AF41" i="4"/>
  <c r="AE41" i="4"/>
  <c r="AD41" i="4"/>
  <c r="AC41" i="4"/>
  <c r="AB41" i="4"/>
  <c r="AA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AJ40" i="4"/>
  <c r="AI40" i="4"/>
  <c r="AH40" i="4"/>
  <c r="AG40" i="4"/>
  <c r="AF40" i="4"/>
  <c r="AE40" i="4"/>
  <c r="AD40" i="4"/>
  <c r="AC40" i="4"/>
  <c r="AB40" i="4"/>
  <c r="AA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AJ39" i="4"/>
  <c r="AI39" i="4"/>
  <c r="AH39" i="4"/>
  <c r="AG39" i="4"/>
  <c r="AF39" i="4"/>
  <c r="AE39" i="4"/>
  <c r="AD39" i="4"/>
  <c r="AC39" i="4"/>
  <c r="AB39" i="4"/>
  <c r="AA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AJ38" i="4"/>
  <c r="AI38" i="4"/>
  <c r="AH38" i="4"/>
  <c r="AG38" i="4"/>
  <c r="AF38" i="4"/>
  <c r="AE38" i="4"/>
  <c r="AD38" i="4"/>
  <c r="AC38" i="4"/>
  <c r="AB38" i="4"/>
  <c r="AA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9" i="4"/>
  <c r="F40" i="4"/>
  <c r="F41" i="4"/>
  <c r="F38" i="4"/>
  <c r="AO46" i="6"/>
  <c r="AO47" i="6"/>
  <c r="AO48" i="6"/>
  <c r="AA46" i="6"/>
  <c r="AA47" i="6"/>
  <c r="AA48" i="6"/>
  <c r="L46" i="6"/>
  <c r="L47" i="6"/>
  <c r="L48" i="6"/>
  <c r="M282" i="29"/>
  <c r="M283" i="29"/>
  <c r="M284" i="29"/>
  <c r="M285" i="29"/>
  <c r="M286" i="29"/>
  <c r="M287" i="29"/>
  <c r="M288" i="29"/>
  <c r="M289" i="29"/>
  <c r="M290" i="29"/>
  <c r="M291" i="29"/>
  <c r="M292" i="29"/>
  <c r="N282" i="29"/>
  <c r="N283" i="29"/>
  <c r="N284" i="29"/>
  <c r="X284" i="29" s="1"/>
  <c r="N285" i="29"/>
  <c r="T285" i="29" s="1"/>
  <c r="N286" i="29"/>
  <c r="T286" i="29" s="1"/>
  <c r="N287" i="29"/>
  <c r="N288" i="29"/>
  <c r="N289" i="29"/>
  <c r="O289" i="29" s="1"/>
  <c r="N290" i="29"/>
  <c r="X290" i="29" s="1"/>
  <c r="N291" i="29"/>
  <c r="O291" i="29" s="1"/>
  <c r="N292" i="29"/>
  <c r="O292" i="29" s="1"/>
  <c r="O282" i="29"/>
  <c r="O283" i="29"/>
  <c r="O284" i="29"/>
  <c r="O287" i="29"/>
  <c r="O288" i="29"/>
  <c r="Q282" i="29"/>
  <c r="Q283" i="29"/>
  <c r="Q284" i="29"/>
  <c r="Q285" i="29"/>
  <c r="Q286" i="29"/>
  <c r="Q287" i="29"/>
  <c r="Q288" i="29"/>
  <c r="Q289" i="29"/>
  <c r="Q290" i="29"/>
  <c r="Q291" i="29"/>
  <c r="Q292" i="29"/>
  <c r="S282" i="29"/>
  <c r="S283" i="29"/>
  <c r="S284" i="29"/>
  <c r="S285" i="29"/>
  <c r="S286" i="29"/>
  <c r="S287" i="29"/>
  <c r="S288" i="29"/>
  <c r="S289" i="29"/>
  <c r="S290" i="29"/>
  <c r="S291" i="29"/>
  <c r="S292" i="29"/>
  <c r="T282" i="29"/>
  <c r="T283" i="29"/>
  <c r="T284" i="29"/>
  <c r="T287" i="29"/>
  <c r="T288" i="29"/>
  <c r="T289" i="29"/>
  <c r="T291" i="29"/>
  <c r="V282" i="29"/>
  <c r="V283" i="29"/>
  <c r="V284" i="29"/>
  <c r="V285" i="29"/>
  <c r="V286" i="29"/>
  <c r="V287" i="29"/>
  <c r="V288" i="29"/>
  <c r="V289" i="29"/>
  <c r="V290" i="29"/>
  <c r="V291" i="29"/>
  <c r="V292" i="29"/>
  <c r="W282" i="29"/>
  <c r="AA282" i="29" s="1"/>
  <c r="W283" i="29"/>
  <c r="AA283" i="29" s="1"/>
  <c r="W284" i="29"/>
  <c r="AA284" i="29" s="1"/>
  <c r="W285" i="29"/>
  <c r="AA285" i="29" s="1"/>
  <c r="W286" i="29"/>
  <c r="W287" i="29"/>
  <c r="W288" i="29"/>
  <c r="W289" i="29"/>
  <c r="AA289" i="29" s="1"/>
  <c r="W290" i="29"/>
  <c r="AA290" i="29" s="1"/>
  <c r="W291" i="29"/>
  <c r="AA291" i="29" s="1"/>
  <c r="W292" i="29"/>
  <c r="AA292" i="29" s="1"/>
  <c r="X282" i="29"/>
  <c r="X283" i="29"/>
  <c r="X287" i="29"/>
  <c r="X288" i="29"/>
  <c r="X289" i="29"/>
  <c r="X291" i="29"/>
  <c r="X292" i="29"/>
  <c r="Y282" i="29"/>
  <c r="Y283" i="29"/>
  <c r="Y284" i="29"/>
  <c r="Y285" i="29"/>
  <c r="Y286" i="29"/>
  <c r="Y287" i="29"/>
  <c r="Y288" i="29"/>
  <c r="Y289" i="29"/>
  <c r="Y290" i="29"/>
  <c r="Y291" i="29"/>
  <c r="Y292" i="29"/>
  <c r="Z282" i="29"/>
  <c r="Z283" i="29"/>
  <c r="Z284" i="29"/>
  <c r="Z285" i="29"/>
  <c r="Z286" i="29"/>
  <c r="Z287" i="29"/>
  <c r="Z288" i="29"/>
  <c r="Z289" i="29"/>
  <c r="Z290" i="29"/>
  <c r="Z291" i="29"/>
  <c r="Z292" i="29"/>
  <c r="AA286" i="29"/>
  <c r="AA287" i="29"/>
  <c r="AA288" i="29"/>
  <c r="AB282" i="29"/>
  <c r="AB283" i="29"/>
  <c r="AB284" i="29"/>
  <c r="AB285" i="29"/>
  <c r="AB286" i="29"/>
  <c r="AB287" i="29"/>
  <c r="AB288" i="29"/>
  <c r="AB289" i="29"/>
  <c r="AB290" i="29"/>
  <c r="AB291" i="29"/>
  <c r="AB292" i="29"/>
  <c r="AN46" i="6"/>
  <c r="AN47" i="6"/>
  <c r="AN48" i="6"/>
  <c r="O290" i="29" l="1"/>
  <c r="T292" i="29"/>
  <c r="X286" i="29"/>
  <c r="X285" i="29"/>
  <c r="T290" i="29"/>
  <c r="O285" i="29"/>
  <c r="O286" i="29"/>
  <c r="AH46" i="6"/>
  <c r="AH47" i="6"/>
  <c r="AH48" i="6"/>
  <c r="AT40" i="6"/>
  <c r="M272" i="29" l="1"/>
  <c r="M273" i="29"/>
  <c r="M274" i="29"/>
  <c r="M275" i="29"/>
  <c r="M276" i="29"/>
  <c r="M277" i="29"/>
  <c r="M278" i="29"/>
  <c r="M279" i="29"/>
  <c r="M280" i="29"/>
  <c r="M281" i="29"/>
  <c r="N272" i="29"/>
  <c r="O272" i="29" s="1"/>
  <c r="N273" i="29"/>
  <c r="T273" i="29" s="1"/>
  <c r="N274" i="29"/>
  <c r="X274" i="29" s="1"/>
  <c r="N275" i="29"/>
  <c r="O275" i="29" s="1"/>
  <c r="N276" i="29"/>
  <c r="T276" i="29" s="1"/>
  <c r="N277" i="29"/>
  <c r="X277" i="29" s="1"/>
  <c r="N278" i="29"/>
  <c r="O278" i="29" s="1"/>
  <c r="N279" i="29"/>
  <c r="N280" i="29"/>
  <c r="T280" i="29" s="1"/>
  <c r="N281" i="29"/>
  <c r="T281" i="29" s="1"/>
  <c r="O279" i="29"/>
  <c r="O280" i="29"/>
  <c r="O281" i="29"/>
  <c r="Q272" i="29"/>
  <c r="Q273" i="29"/>
  <c r="Q274" i="29"/>
  <c r="Q275" i="29"/>
  <c r="Q276" i="29"/>
  <c r="Q277" i="29"/>
  <c r="Q278" i="29"/>
  <c r="Q279" i="29"/>
  <c r="Q280" i="29"/>
  <c r="Q281" i="29"/>
  <c r="S272" i="29"/>
  <c r="S273" i="29"/>
  <c r="S274" i="29"/>
  <c r="S275" i="29"/>
  <c r="S276" i="29"/>
  <c r="S277" i="29"/>
  <c r="S278" i="29"/>
  <c r="S279" i="29"/>
  <c r="S280" i="29"/>
  <c r="S281" i="29"/>
  <c r="T278" i="29"/>
  <c r="T279" i="29"/>
  <c r="V272" i="29"/>
  <c r="V273" i="29"/>
  <c r="V274" i="29"/>
  <c r="V275" i="29"/>
  <c r="V276" i="29"/>
  <c r="V277" i="29"/>
  <c r="V278" i="29"/>
  <c r="V279" i="29"/>
  <c r="V280" i="29"/>
  <c r="V281" i="29"/>
  <c r="W272" i="29"/>
  <c r="W273" i="29"/>
  <c r="W274" i="29"/>
  <c r="AA274" i="29" s="1"/>
  <c r="W275" i="29"/>
  <c r="AA275" i="29" s="1"/>
  <c r="W276" i="29"/>
  <c r="AA276" i="29" s="1"/>
  <c r="W277" i="29"/>
  <c r="AA277" i="29" s="1"/>
  <c r="W278" i="29"/>
  <c r="AA278" i="29" s="1"/>
  <c r="W279" i="29"/>
  <c r="AA279" i="29" s="1"/>
  <c r="W280" i="29"/>
  <c r="AA280" i="29" s="1"/>
  <c r="W281" i="29"/>
  <c r="AA281" i="29" s="1"/>
  <c r="X279" i="29"/>
  <c r="X280" i="29"/>
  <c r="X281" i="29"/>
  <c r="Y272" i="29"/>
  <c r="Y273" i="29"/>
  <c r="Y274" i="29"/>
  <c r="Y275" i="29"/>
  <c r="Y276" i="29"/>
  <c r="Y277" i="29"/>
  <c r="Y278" i="29"/>
  <c r="Y279" i="29"/>
  <c r="Y280" i="29"/>
  <c r="Y281" i="29"/>
  <c r="Z272" i="29"/>
  <c r="Z273" i="29"/>
  <c r="Z274" i="29"/>
  <c r="Z275" i="29"/>
  <c r="Z276" i="29"/>
  <c r="Z277" i="29"/>
  <c r="Z278" i="29"/>
  <c r="Z279" i="29"/>
  <c r="Z280" i="29"/>
  <c r="Z281" i="29"/>
  <c r="AA272" i="29"/>
  <c r="AA273" i="29"/>
  <c r="AB272" i="29"/>
  <c r="AB273" i="29"/>
  <c r="AB274" i="29"/>
  <c r="AB275" i="29"/>
  <c r="AB276" i="29"/>
  <c r="AB277" i="29"/>
  <c r="AB278" i="29"/>
  <c r="AB279" i="29"/>
  <c r="AB280" i="29"/>
  <c r="AB281" i="29"/>
  <c r="X278" i="29" l="1"/>
  <c r="X272" i="29"/>
  <c r="X273" i="29"/>
  <c r="T277" i="29"/>
  <c r="O277" i="29"/>
  <c r="T274" i="29"/>
  <c r="T272" i="29"/>
  <c r="X276" i="29"/>
  <c r="O276" i="29"/>
  <c r="O274" i="29"/>
  <c r="O273" i="29"/>
  <c r="X275" i="29"/>
  <c r="T275" i="29"/>
  <c r="AS48" i="6" l="1"/>
  <c r="AR48" i="6"/>
  <c r="AQ48" i="6"/>
  <c r="AP48" i="6"/>
  <c r="AM48" i="6"/>
  <c r="AL48" i="6"/>
  <c r="AK48" i="6"/>
  <c r="AJ48" i="6"/>
  <c r="AI48" i="6"/>
  <c r="AS47" i="6"/>
  <c r="AR47" i="6"/>
  <c r="AQ47" i="6"/>
  <c r="AP47" i="6"/>
  <c r="AM47" i="6"/>
  <c r="AL47" i="6"/>
  <c r="AK47" i="6"/>
  <c r="AJ47" i="6"/>
  <c r="AI47" i="6"/>
  <c r="AS46" i="6"/>
  <c r="AR46" i="6"/>
  <c r="AQ46" i="6"/>
  <c r="AP46" i="6"/>
  <c r="AM46" i="6"/>
  <c r="AL46" i="6"/>
  <c r="AK46" i="6"/>
  <c r="AJ46" i="6"/>
  <c r="AI46" i="6"/>
  <c r="AT45" i="6"/>
  <c r="AT44" i="6"/>
  <c r="AT43" i="6"/>
  <c r="AT42" i="6"/>
  <c r="AT41" i="6"/>
  <c r="AT39" i="6"/>
  <c r="AT38" i="6"/>
  <c r="AT37" i="6"/>
  <c r="AT36" i="6"/>
  <c r="AT35" i="6"/>
  <c r="AT34" i="6"/>
  <c r="AT33" i="6"/>
  <c r="AT32" i="6"/>
  <c r="AT31" i="6"/>
  <c r="AT30" i="6"/>
  <c r="AT29" i="6"/>
  <c r="AT28" i="6"/>
  <c r="AT27" i="6"/>
  <c r="AT26" i="6"/>
  <c r="AT25" i="6"/>
  <c r="AT24" i="6"/>
  <c r="AT23" i="6"/>
  <c r="AE48" i="6"/>
  <c r="AD48" i="6"/>
  <c r="AC48" i="6"/>
  <c r="AB48" i="6"/>
  <c r="Z48" i="6"/>
  <c r="Y48" i="6"/>
  <c r="X48" i="6"/>
  <c r="W48" i="6"/>
  <c r="V48" i="6"/>
  <c r="U48" i="6"/>
  <c r="T48" i="6"/>
  <c r="AE47" i="6"/>
  <c r="AD47" i="6"/>
  <c r="AC47" i="6"/>
  <c r="AB47" i="6"/>
  <c r="Z47" i="6"/>
  <c r="Y47" i="6"/>
  <c r="X47" i="6"/>
  <c r="W47" i="6"/>
  <c r="V47" i="6"/>
  <c r="U47" i="6"/>
  <c r="T47" i="6"/>
  <c r="AE46" i="6"/>
  <c r="AD46" i="6"/>
  <c r="AC46" i="6"/>
  <c r="AB46" i="6"/>
  <c r="Z46" i="6"/>
  <c r="Y46" i="6"/>
  <c r="X46" i="6"/>
  <c r="W46" i="6"/>
  <c r="V46" i="6"/>
  <c r="U46" i="6"/>
  <c r="T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M260" i="29"/>
  <c r="M261" i="29"/>
  <c r="M262" i="29"/>
  <c r="M263" i="29"/>
  <c r="M264" i="29"/>
  <c r="M265" i="29"/>
  <c r="M266" i="29"/>
  <c r="M267" i="29"/>
  <c r="M268" i="29"/>
  <c r="M269" i="29"/>
  <c r="M270" i="29"/>
  <c r="M271" i="29"/>
  <c r="N260" i="29"/>
  <c r="T260" i="29" s="1"/>
  <c r="N261" i="29"/>
  <c r="O261" i="29" s="1"/>
  <c r="N262" i="29"/>
  <c r="T262" i="29" s="1"/>
  <c r="N263" i="29"/>
  <c r="T263" i="29" s="1"/>
  <c r="N264" i="29"/>
  <c r="T264" i="29" s="1"/>
  <c r="N265" i="29"/>
  <c r="N266" i="29"/>
  <c r="O266" i="29" s="1"/>
  <c r="N267" i="29"/>
  <c r="O267" i="29" s="1"/>
  <c r="N268" i="29"/>
  <c r="O268" i="29" s="1"/>
  <c r="N269" i="29"/>
  <c r="O269" i="29" s="1"/>
  <c r="N270" i="29"/>
  <c r="O270" i="29" s="1"/>
  <c r="N271" i="29"/>
  <c r="O271" i="29" s="1"/>
  <c r="O265" i="29"/>
  <c r="Q260" i="29"/>
  <c r="Q261" i="29"/>
  <c r="Q262" i="29"/>
  <c r="Q263" i="29"/>
  <c r="Q264" i="29"/>
  <c r="Q265" i="29"/>
  <c r="Q266" i="29"/>
  <c r="Q267" i="29"/>
  <c r="Q268" i="29"/>
  <c r="Q269" i="29"/>
  <c r="Q270" i="29"/>
  <c r="Q271" i="29"/>
  <c r="S260" i="29"/>
  <c r="S261" i="29"/>
  <c r="S262" i="29"/>
  <c r="S263" i="29"/>
  <c r="S264" i="29"/>
  <c r="S265" i="29"/>
  <c r="S266" i="29"/>
  <c r="S267" i="29"/>
  <c r="S268" i="29"/>
  <c r="S269" i="29"/>
  <c r="S270" i="29"/>
  <c r="S271" i="29"/>
  <c r="T265" i="29"/>
  <c r="T266" i="29"/>
  <c r="T267" i="29"/>
  <c r="V260" i="29"/>
  <c r="V261" i="29"/>
  <c r="V262" i="29"/>
  <c r="V263" i="29"/>
  <c r="V264" i="29"/>
  <c r="V265" i="29"/>
  <c r="V266" i="29"/>
  <c r="V267" i="29"/>
  <c r="V268" i="29"/>
  <c r="V269" i="29"/>
  <c r="V270" i="29"/>
  <c r="V271" i="29"/>
  <c r="W260" i="29"/>
  <c r="AA260" i="29" s="1"/>
  <c r="W261" i="29"/>
  <c r="AA261" i="29" s="1"/>
  <c r="W262" i="29"/>
  <c r="AA262" i="29" s="1"/>
  <c r="W263" i="29"/>
  <c r="AA263" i="29" s="1"/>
  <c r="W264" i="29"/>
  <c r="AA264" i="29" s="1"/>
  <c r="W265" i="29"/>
  <c r="AA265" i="29" s="1"/>
  <c r="W266" i="29"/>
  <c r="AA266" i="29" s="1"/>
  <c r="W267" i="29"/>
  <c r="AA267" i="29" s="1"/>
  <c r="W268" i="29"/>
  <c r="AA268" i="29" s="1"/>
  <c r="W269" i="29"/>
  <c r="AA269" i="29" s="1"/>
  <c r="W270" i="29"/>
  <c r="AA270" i="29" s="1"/>
  <c r="W271" i="29"/>
  <c r="AA271" i="29" s="1"/>
  <c r="X265" i="29"/>
  <c r="X266" i="29"/>
  <c r="X267" i="29"/>
  <c r="X268" i="29"/>
  <c r="Y260" i="29"/>
  <c r="Y261" i="29"/>
  <c r="Y262" i="29"/>
  <c r="Y263" i="29"/>
  <c r="Y264" i="29"/>
  <c r="Y265" i="29"/>
  <c r="Y266" i="29"/>
  <c r="Y267" i="29"/>
  <c r="Y268" i="29"/>
  <c r="Y269" i="29"/>
  <c r="Y270" i="29"/>
  <c r="Y271" i="29"/>
  <c r="Z260" i="29"/>
  <c r="Z261" i="29"/>
  <c r="Z262" i="29"/>
  <c r="Z263" i="29"/>
  <c r="Z264" i="29"/>
  <c r="Z265" i="29"/>
  <c r="Z266" i="29"/>
  <c r="Z267" i="29"/>
  <c r="Z268" i="29"/>
  <c r="Z269" i="29"/>
  <c r="Z270" i="29"/>
  <c r="Z271" i="29"/>
  <c r="AB260" i="29"/>
  <c r="AB261" i="29"/>
  <c r="AB262" i="29"/>
  <c r="AB263" i="29"/>
  <c r="AB264" i="29"/>
  <c r="AB265" i="29"/>
  <c r="AB266" i="29"/>
  <c r="AB267" i="29"/>
  <c r="AB268" i="29"/>
  <c r="AB269" i="29"/>
  <c r="AB270" i="29"/>
  <c r="AB271" i="29"/>
  <c r="M250" i="29"/>
  <c r="M251" i="29"/>
  <c r="M252" i="29"/>
  <c r="M253" i="29"/>
  <c r="M254" i="29"/>
  <c r="M255" i="29"/>
  <c r="M256" i="29"/>
  <c r="M257" i="29"/>
  <c r="M258" i="29"/>
  <c r="M259" i="29"/>
  <c r="N250" i="29"/>
  <c r="T250" i="29" s="1"/>
  <c r="N251" i="29"/>
  <c r="O251" i="29" s="1"/>
  <c r="N252" i="29"/>
  <c r="X252" i="29" s="1"/>
  <c r="N253" i="29"/>
  <c r="X253" i="29" s="1"/>
  <c r="N254" i="29"/>
  <c r="X254" i="29" s="1"/>
  <c r="N255" i="29"/>
  <c r="X255" i="29" s="1"/>
  <c r="N256" i="29"/>
  <c r="O256" i="29" s="1"/>
  <c r="N257" i="29"/>
  <c r="X257" i="29" s="1"/>
  <c r="N258" i="29"/>
  <c r="O258" i="29" s="1"/>
  <c r="N259" i="29"/>
  <c r="T259" i="29" s="1"/>
  <c r="O259" i="29"/>
  <c r="Q250" i="29"/>
  <c r="Q251" i="29"/>
  <c r="Q252" i="29"/>
  <c r="Q253" i="29"/>
  <c r="Q254" i="29"/>
  <c r="Q255" i="29"/>
  <c r="Q256" i="29"/>
  <c r="Q257" i="29"/>
  <c r="Q258" i="29"/>
  <c r="Q259" i="29"/>
  <c r="S250" i="29"/>
  <c r="S251" i="29"/>
  <c r="S252" i="29"/>
  <c r="S253" i="29"/>
  <c r="S254" i="29"/>
  <c r="S255" i="29"/>
  <c r="S256" i="29"/>
  <c r="S257" i="29"/>
  <c r="S258" i="29"/>
  <c r="S259" i="29"/>
  <c r="V250" i="29"/>
  <c r="V251" i="29"/>
  <c r="V252" i="29"/>
  <c r="V253" i="29"/>
  <c r="V254" i="29"/>
  <c r="V255" i="29"/>
  <c r="V256" i="29"/>
  <c r="V257" i="29"/>
  <c r="V258" i="29"/>
  <c r="V259" i="29"/>
  <c r="W250" i="29"/>
  <c r="AA250" i="29" s="1"/>
  <c r="W251" i="29"/>
  <c r="AA251" i="29" s="1"/>
  <c r="W252" i="29"/>
  <c r="AA252" i="29" s="1"/>
  <c r="W253" i="29"/>
  <c r="AA253" i="29" s="1"/>
  <c r="W254" i="29"/>
  <c r="AA254" i="29" s="1"/>
  <c r="W255" i="29"/>
  <c r="AA255" i="29" s="1"/>
  <c r="W256" i="29"/>
  <c r="AA256" i="29" s="1"/>
  <c r="W257" i="29"/>
  <c r="AA257" i="29" s="1"/>
  <c r="W258" i="29"/>
  <c r="AA258" i="29" s="1"/>
  <c r="W259" i="29"/>
  <c r="AA259" i="29" s="1"/>
  <c r="Y250" i="29"/>
  <c r="Y251" i="29"/>
  <c r="Y252" i="29"/>
  <c r="Y253" i="29"/>
  <c r="Y254" i="29"/>
  <c r="Y255" i="29"/>
  <c r="Y256" i="29"/>
  <c r="Y257" i="29"/>
  <c r="Y258" i="29"/>
  <c r="Y259" i="29"/>
  <c r="Z250" i="29"/>
  <c r="Z251" i="29"/>
  <c r="Z252" i="29"/>
  <c r="Z253" i="29"/>
  <c r="Z254" i="29"/>
  <c r="Z255" i="29"/>
  <c r="Z256" i="29"/>
  <c r="Z257" i="29"/>
  <c r="Z258" i="29"/>
  <c r="Z259" i="29"/>
  <c r="AB250" i="29"/>
  <c r="AB251" i="29"/>
  <c r="AB252" i="29"/>
  <c r="AB253" i="29"/>
  <c r="AB254" i="29"/>
  <c r="AB255" i="29"/>
  <c r="AB256" i="29"/>
  <c r="AB257" i="29"/>
  <c r="AB258" i="29"/>
  <c r="AB259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N238" i="29"/>
  <c r="X238" i="29" s="1"/>
  <c r="N239" i="29"/>
  <c r="O239" i="29" s="1"/>
  <c r="N240" i="29"/>
  <c r="T240" i="29" s="1"/>
  <c r="N241" i="29"/>
  <c r="O241" i="29" s="1"/>
  <c r="N242" i="29"/>
  <c r="T242" i="29" s="1"/>
  <c r="N243" i="29"/>
  <c r="T243" i="29" s="1"/>
  <c r="N244" i="29"/>
  <c r="X244" i="29" s="1"/>
  <c r="N245" i="29"/>
  <c r="O245" i="29" s="1"/>
  <c r="N246" i="29"/>
  <c r="X246" i="29" s="1"/>
  <c r="N247" i="29"/>
  <c r="O247" i="29" s="1"/>
  <c r="N248" i="29"/>
  <c r="X248" i="29" s="1"/>
  <c r="N249" i="29"/>
  <c r="O249" i="29" s="1"/>
  <c r="Q238" i="29"/>
  <c r="Q239" i="29"/>
  <c r="Q240" i="29"/>
  <c r="Q241" i="29"/>
  <c r="Q242" i="29"/>
  <c r="Q243" i="29"/>
  <c r="Q244" i="29"/>
  <c r="Q245" i="29"/>
  <c r="Q246" i="29"/>
  <c r="Q247" i="29"/>
  <c r="Q248" i="29"/>
  <c r="Q249" i="29"/>
  <c r="S238" i="29"/>
  <c r="S239" i="29"/>
  <c r="S240" i="29"/>
  <c r="S241" i="29"/>
  <c r="S242" i="29"/>
  <c r="S243" i="29"/>
  <c r="S244" i="29"/>
  <c r="S245" i="29"/>
  <c r="S246" i="29"/>
  <c r="S247" i="29"/>
  <c r="S248" i="29"/>
  <c r="S249" i="29"/>
  <c r="V238" i="29"/>
  <c r="V239" i="29"/>
  <c r="V240" i="29"/>
  <c r="V241" i="29"/>
  <c r="V242" i="29"/>
  <c r="V243" i="29"/>
  <c r="V244" i="29"/>
  <c r="V245" i="29"/>
  <c r="V246" i="29"/>
  <c r="V247" i="29"/>
  <c r="V248" i="29"/>
  <c r="V249" i="29"/>
  <c r="W238" i="29"/>
  <c r="AA238" i="29" s="1"/>
  <c r="W239" i="29"/>
  <c r="AA239" i="29" s="1"/>
  <c r="W240" i="29"/>
  <c r="AA240" i="29" s="1"/>
  <c r="W241" i="29"/>
  <c r="AA241" i="29" s="1"/>
  <c r="W242" i="29"/>
  <c r="AA242" i="29" s="1"/>
  <c r="W243" i="29"/>
  <c r="AA243" i="29" s="1"/>
  <c r="W244" i="29"/>
  <c r="AA244" i="29" s="1"/>
  <c r="W245" i="29"/>
  <c r="AA245" i="29" s="1"/>
  <c r="W246" i="29"/>
  <c r="AA246" i="29" s="1"/>
  <c r="W247" i="29"/>
  <c r="AA247" i="29" s="1"/>
  <c r="W248" i="29"/>
  <c r="AA248" i="29" s="1"/>
  <c r="W249" i="29"/>
  <c r="AA249" i="29" s="1"/>
  <c r="Y238" i="29"/>
  <c r="Y239" i="29"/>
  <c r="Y240" i="29"/>
  <c r="Y241" i="29"/>
  <c r="Y242" i="29"/>
  <c r="Y243" i="29"/>
  <c r="Y244" i="29"/>
  <c r="Y245" i="29"/>
  <c r="Y246" i="29"/>
  <c r="Y247" i="29"/>
  <c r="Y248" i="29"/>
  <c r="Y249" i="29"/>
  <c r="Z238" i="29"/>
  <c r="Z239" i="29"/>
  <c r="Z240" i="29"/>
  <c r="Z241" i="29"/>
  <c r="Z242" i="29"/>
  <c r="Z243" i="29"/>
  <c r="Z244" i="29"/>
  <c r="Z245" i="29"/>
  <c r="Z246" i="29"/>
  <c r="Z247" i="29"/>
  <c r="Z248" i="29"/>
  <c r="Z249" i="29"/>
  <c r="AB238" i="29"/>
  <c r="AB239" i="29"/>
  <c r="AB240" i="29"/>
  <c r="AB241" i="29"/>
  <c r="AB242" i="29"/>
  <c r="AB243" i="29"/>
  <c r="AB244" i="29"/>
  <c r="AB245" i="29"/>
  <c r="AB246" i="29"/>
  <c r="AB247" i="29"/>
  <c r="AB248" i="29"/>
  <c r="AB249" i="29"/>
  <c r="M227" i="29"/>
  <c r="M228" i="29"/>
  <c r="M229" i="29"/>
  <c r="M230" i="29"/>
  <c r="M231" i="29"/>
  <c r="M232" i="29"/>
  <c r="M233" i="29"/>
  <c r="M234" i="29"/>
  <c r="M235" i="29"/>
  <c r="M236" i="29"/>
  <c r="M237" i="29"/>
  <c r="N227" i="29"/>
  <c r="O227" i="29" s="1"/>
  <c r="N228" i="29"/>
  <c r="O228" i="29" s="1"/>
  <c r="N229" i="29"/>
  <c r="X229" i="29" s="1"/>
  <c r="N230" i="29"/>
  <c r="T230" i="29" s="1"/>
  <c r="N231" i="29"/>
  <c r="T231" i="29" s="1"/>
  <c r="N232" i="29"/>
  <c r="T232" i="29" s="1"/>
  <c r="N233" i="29"/>
  <c r="X233" i="29" s="1"/>
  <c r="N234" i="29"/>
  <c r="T234" i="29" s="1"/>
  <c r="N235" i="29"/>
  <c r="X235" i="29" s="1"/>
  <c r="N236" i="29"/>
  <c r="X236" i="29" s="1"/>
  <c r="N237" i="29"/>
  <c r="X237" i="29" s="1"/>
  <c r="Q227" i="29"/>
  <c r="Q228" i="29"/>
  <c r="Q229" i="29"/>
  <c r="Q230" i="29"/>
  <c r="Q231" i="29"/>
  <c r="Q232" i="29"/>
  <c r="Q233" i="29"/>
  <c r="Q234" i="29"/>
  <c r="Q235" i="29"/>
  <c r="Q236" i="29"/>
  <c r="Q237" i="29"/>
  <c r="S227" i="29"/>
  <c r="S228" i="29"/>
  <c r="S229" i="29"/>
  <c r="S230" i="29"/>
  <c r="S231" i="29"/>
  <c r="S232" i="29"/>
  <c r="S233" i="29"/>
  <c r="S234" i="29"/>
  <c r="S235" i="29"/>
  <c r="S236" i="29"/>
  <c r="S237" i="29"/>
  <c r="V227" i="29"/>
  <c r="V228" i="29"/>
  <c r="V229" i="29"/>
  <c r="V230" i="29"/>
  <c r="V231" i="29"/>
  <c r="V232" i="29"/>
  <c r="V233" i="29"/>
  <c r="V234" i="29"/>
  <c r="V235" i="29"/>
  <c r="V236" i="29"/>
  <c r="V237" i="29"/>
  <c r="W227" i="29"/>
  <c r="AA227" i="29" s="1"/>
  <c r="W228" i="29"/>
  <c r="AA228" i="29" s="1"/>
  <c r="W229" i="29"/>
  <c r="AA229" i="29" s="1"/>
  <c r="W230" i="29"/>
  <c r="AA230" i="29" s="1"/>
  <c r="W231" i="29"/>
  <c r="AA231" i="29" s="1"/>
  <c r="W232" i="29"/>
  <c r="AA232" i="29" s="1"/>
  <c r="W233" i="29"/>
  <c r="AA233" i="29" s="1"/>
  <c r="W234" i="29"/>
  <c r="AA234" i="29" s="1"/>
  <c r="W235" i="29"/>
  <c r="AA235" i="29" s="1"/>
  <c r="W236" i="29"/>
  <c r="AA236" i="29" s="1"/>
  <c r="W237" i="29"/>
  <c r="AA237" i="29" s="1"/>
  <c r="Y227" i="29"/>
  <c r="Y228" i="29"/>
  <c r="Y229" i="29"/>
  <c r="Y230" i="29"/>
  <c r="Y231" i="29"/>
  <c r="Y232" i="29"/>
  <c r="Y233" i="29"/>
  <c r="Y234" i="29"/>
  <c r="Y235" i="29"/>
  <c r="Y236" i="29"/>
  <c r="Y237" i="29"/>
  <c r="Z227" i="29"/>
  <c r="Z228" i="29"/>
  <c r="Z229" i="29"/>
  <c r="Z230" i="29"/>
  <c r="Z231" i="29"/>
  <c r="Z232" i="29"/>
  <c r="Z233" i="29"/>
  <c r="Z234" i="29"/>
  <c r="Z235" i="29"/>
  <c r="Z236" i="29"/>
  <c r="Z237" i="29"/>
  <c r="AB227" i="29"/>
  <c r="AB228" i="29"/>
  <c r="AB229" i="29"/>
  <c r="AB230" i="29"/>
  <c r="AB231" i="29"/>
  <c r="AB232" i="29"/>
  <c r="AB233" i="29"/>
  <c r="AB234" i="29"/>
  <c r="AB235" i="29"/>
  <c r="AB236" i="29"/>
  <c r="AB237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N215" i="29"/>
  <c r="T215" i="29" s="1"/>
  <c r="N216" i="29"/>
  <c r="O216" i="29" s="1"/>
  <c r="N217" i="29"/>
  <c r="O217" i="29" s="1"/>
  <c r="N218" i="29"/>
  <c r="T218" i="29" s="1"/>
  <c r="N219" i="29"/>
  <c r="T219" i="29" s="1"/>
  <c r="N220" i="29"/>
  <c r="O220" i="29" s="1"/>
  <c r="N221" i="29"/>
  <c r="T221" i="29" s="1"/>
  <c r="N222" i="29"/>
  <c r="T222" i="29" s="1"/>
  <c r="N223" i="29"/>
  <c r="O223" i="29" s="1"/>
  <c r="N224" i="29"/>
  <c r="T224" i="29" s="1"/>
  <c r="N225" i="29"/>
  <c r="O225" i="29" s="1"/>
  <c r="N226" i="29"/>
  <c r="O226" i="29" s="1"/>
  <c r="Q215" i="29"/>
  <c r="Q216" i="29"/>
  <c r="Q217" i="29"/>
  <c r="Q218" i="29"/>
  <c r="Q219" i="29"/>
  <c r="Q220" i="29"/>
  <c r="Q221" i="29"/>
  <c r="Q222" i="29"/>
  <c r="Q223" i="29"/>
  <c r="Q224" i="29"/>
  <c r="Q225" i="29"/>
  <c r="Q226" i="29"/>
  <c r="S215" i="29"/>
  <c r="S216" i="29"/>
  <c r="S217" i="29"/>
  <c r="S218" i="29"/>
  <c r="S219" i="29"/>
  <c r="S220" i="29"/>
  <c r="S221" i="29"/>
  <c r="S222" i="29"/>
  <c r="S223" i="29"/>
  <c r="S224" i="29"/>
  <c r="S225" i="29"/>
  <c r="S226" i="29"/>
  <c r="V215" i="29"/>
  <c r="V216" i="29"/>
  <c r="V217" i="29"/>
  <c r="V218" i="29"/>
  <c r="V219" i="29"/>
  <c r="V220" i="29"/>
  <c r="V221" i="29"/>
  <c r="V222" i="29"/>
  <c r="V223" i="29"/>
  <c r="V224" i="29"/>
  <c r="V225" i="29"/>
  <c r="V226" i="29"/>
  <c r="W215" i="29"/>
  <c r="AA215" i="29" s="1"/>
  <c r="W216" i="29"/>
  <c r="AA216" i="29" s="1"/>
  <c r="W217" i="29"/>
  <c r="AA217" i="29" s="1"/>
  <c r="W218" i="29"/>
  <c r="AA218" i="29" s="1"/>
  <c r="W219" i="29"/>
  <c r="AA219" i="29" s="1"/>
  <c r="W220" i="29"/>
  <c r="AA220" i="29" s="1"/>
  <c r="W221" i="29"/>
  <c r="AA221" i="29" s="1"/>
  <c r="W222" i="29"/>
  <c r="AA222" i="29" s="1"/>
  <c r="W223" i="29"/>
  <c r="AA223" i="29" s="1"/>
  <c r="W224" i="29"/>
  <c r="AA224" i="29" s="1"/>
  <c r="W225" i="29"/>
  <c r="AA225" i="29" s="1"/>
  <c r="W226" i="29"/>
  <c r="AA226" i="29" s="1"/>
  <c r="Y215" i="29"/>
  <c r="Y216" i="29"/>
  <c r="Y217" i="29"/>
  <c r="Y218" i="29"/>
  <c r="Y219" i="29"/>
  <c r="Y220" i="29"/>
  <c r="Y221" i="29"/>
  <c r="Y222" i="29"/>
  <c r="Y223" i="29"/>
  <c r="Y224" i="29"/>
  <c r="Y225" i="29"/>
  <c r="Y226" i="29"/>
  <c r="Z215" i="29"/>
  <c r="Z216" i="29"/>
  <c r="Z217" i="29"/>
  <c r="Z218" i="29"/>
  <c r="Z219" i="29"/>
  <c r="Z220" i="29"/>
  <c r="Z221" i="29"/>
  <c r="Z222" i="29"/>
  <c r="Z223" i="29"/>
  <c r="Z224" i="29"/>
  <c r="Z225" i="29"/>
  <c r="Z226" i="29"/>
  <c r="AB215" i="29"/>
  <c r="AB216" i="29"/>
  <c r="AB217" i="29"/>
  <c r="AB218" i="29"/>
  <c r="AB219" i="29"/>
  <c r="AB220" i="29"/>
  <c r="AB221" i="29"/>
  <c r="AB222" i="29"/>
  <c r="AB223" i="29"/>
  <c r="AB224" i="29"/>
  <c r="AB225" i="29"/>
  <c r="AB226" i="29"/>
  <c r="M207" i="29"/>
  <c r="M208" i="29"/>
  <c r="M209" i="29"/>
  <c r="M210" i="29"/>
  <c r="M211" i="29"/>
  <c r="M212" i="29"/>
  <c r="M213" i="29"/>
  <c r="M214" i="29"/>
  <c r="N204" i="29"/>
  <c r="O204" i="29" s="1"/>
  <c r="N205" i="29"/>
  <c r="O205" i="29" s="1"/>
  <c r="N206" i="29"/>
  <c r="O206" i="29" s="1"/>
  <c r="N207" i="29"/>
  <c r="T207" i="29" s="1"/>
  <c r="N208" i="29"/>
  <c r="T208" i="29" s="1"/>
  <c r="N209" i="29"/>
  <c r="T209" i="29" s="1"/>
  <c r="N210" i="29"/>
  <c r="X210" i="29" s="1"/>
  <c r="N211" i="29"/>
  <c r="X211" i="29" s="1"/>
  <c r="N212" i="29"/>
  <c r="X212" i="29" s="1"/>
  <c r="N213" i="29"/>
  <c r="X213" i="29" s="1"/>
  <c r="N214" i="29"/>
  <c r="O214" i="29" s="1"/>
  <c r="Q204" i="29"/>
  <c r="Y204" i="29" s="1"/>
  <c r="Q205" i="29"/>
  <c r="Y205" i="29" s="1"/>
  <c r="Q206" i="29"/>
  <c r="Z206" i="29" s="1"/>
  <c r="Q207" i="29"/>
  <c r="Q208" i="29"/>
  <c r="Q209" i="29"/>
  <c r="Q210" i="29"/>
  <c r="Q211" i="29"/>
  <c r="Q212" i="29"/>
  <c r="Q213" i="29"/>
  <c r="Q214" i="29"/>
  <c r="S207" i="29"/>
  <c r="S208" i="29"/>
  <c r="S209" i="29"/>
  <c r="S210" i="29"/>
  <c r="S211" i="29"/>
  <c r="S212" i="29"/>
  <c r="S213" i="29"/>
  <c r="S214" i="29"/>
  <c r="V204" i="29"/>
  <c r="V205" i="29"/>
  <c r="V206" i="29"/>
  <c r="V207" i="29"/>
  <c r="V208" i="29"/>
  <c r="V209" i="29"/>
  <c r="V210" i="29"/>
  <c r="V211" i="29"/>
  <c r="V212" i="29"/>
  <c r="V213" i="29"/>
  <c r="V214" i="29"/>
  <c r="W204" i="29"/>
  <c r="AA204" i="29" s="1"/>
  <c r="W205" i="29"/>
  <c r="AA205" i="29" s="1"/>
  <c r="W206" i="29"/>
  <c r="AA206" i="29" s="1"/>
  <c r="W207" i="29"/>
  <c r="AA207" i="29" s="1"/>
  <c r="W208" i="29"/>
  <c r="AA208" i="29" s="1"/>
  <c r="W209" i="29"/>
  <c r="AA209" i="29" s="1"/>
  <c r="W210" i="29"/>
  <c r="AA210" i="29" s="1"/>
  <c r="W211" i="29"/>
  <c r="AA211" i="29" s="1"/>
  <c r="W212" i="29"/>
  <c r="AA212" i="29" s="1"/>
  <c r="W213" i="29"/>
  <c r="AA213" i="29" s="1"/>
  <c r="W214" i="29"/>
  <c r="AA214" i="29" s="1"/>
  <c r="Y207" i="29"/>
  <c r="Y208" i="29"/>
  <c r="Y209" i="29"/>
  <c r="Y210" i="29"/>
  <c r="Y211" i="29"/>
  <c r="Y212" i="29"/>
  <c r="Y213" i="29"/>
  <c r="Y214" i="29"/>
  <c r="Z207" i="29"/>
  <c r="Z208" i="29"/>
  <c r="Z209" i="29"/>
  <c r="Z210" i="29"/>
  <c r="Z211" i="29"/>
  <c r="Z212" i="29"/>
  <c r="Z213" i="29"/>
  <c r="Z214" i="29"/>
  <c r="AB204" i="29"/>
  <c r="AB205" i="29"/>
  <c r="AB206" i="29"/>
  <c r="AB207" i="29"/>
  <c r="AB208" i="29"/>
  <c r="AB209" i="29"/>
  <c r="AB210" i="29"/>
  <c r="AB211" i="29"/>
  <c r="AB212" i="29"/>
  <c r="AB213" i="29"/>
  <c r="AB214" i="29"/>
  <c r="M191" i="29"/>
  <c r="M192" i="29"/>
  <c r="M193" i="29"/>
  <c r="M194" i="29"/>
  <c r="M195" i="29"/>
  <c r="M196" i="29"/>
  <c r="M197" i="29"/>
  <c r="M198" i="29"/>
  <c r="N191" i="29"/>
  <c r="O191" i="29" s="1"/>
  <c r="N192" i="29"/>
  <c r="X192" i="29" s="1"/>
  <c r="N193" i="29"/>
  <c r="X193" i="29" s="1"/>
  <c r="N194" i="29"/>
  <c r="O194" i="29" s="1"/>
  <c r="N195" i="29"/>
  <c r="O195" i="29" s="1"/>
  <c r="N196" i="29"/>
  <c r="T196" i="29" s="1"/>
  <c r="N197" i="29"/>
  <c r="O197" i="29" s="1"/>
  <c r="N198" i="29"/>
  <c r="O198" i="29" s="1"/>
  <c r="N199" i="29"/>
  <c r="O199" i="29" s="1"/>
  <c r="N200" i="29"/>
  <c r="O200" i="29" s="1"/>
  <c r="N201" i="29"/>
  <c r="O201" i="29" s="1"/>
  <c r="N202" i="29"/>
  <c r="T202" i="29" s="1"/>
  <c r="N203" i="29"/>
  <c r="O203" i="29" s="1"/>
  <c r="Q191" i="29"/>
  <c r="Q192" i="29"/>
  <c r="Q193" i="29"/>
  <c r="Q194" i="29"/>
  <c r="Q195" i="29"/>
  <c r="Q196" i="29"/>
  <c r="Q197" i="29"/>
  <c r="Q198" i="29"/>
  <c r="Q199" i="29"/>
  <c r="AB199" i="29" s="1"/>
  <c r="Q200" i="29"/>
  <c r="AB200" i="29" s="1"/>
  <c r="Q201" i="29"/>
  <c r="Y201" i="29" s="1"/>
  <c r="Q202" i="29"/>
  <c r="Y202" i="29" s="1"/>
  <c r="Q203" i="29"/>
  <c r="S191" i="29"/>
  <c r="S192" i="29"/>
  <c r="S193" i="29"/>
  <c r="S194" i="29"/>
  <c r="S195" i="29"/>
  <c r="S196" i="29"/>
  <c r="S197" i="29"/>
  <c r="S198" i="29"/>
  <c r="V191" i="29"/>
  <c r="V192" i="29"/>
  <c r="V193" i="29"/>
  <c r="V194" i="29"/>
  <c r="V195" i="29"/>
  <c r="V196" i="29"/>
  <c r="V197" i="29"/>
  <c r="V198" i="29"/>
  <c r="V199" i="29"/>
  <c r="V200" i="29"/>
  <c r="V201" i="29"/>
  <c r="V202" i="29"/>
  <c r="V203" i="29"/>
  <c r="W191" i="29"/>
  <c r="AA191" i="29" s="1"/>
  <c r="W192" i="29"/>
  <c r="AA192" i="29" s="1"/>
  <c r="W193" i="29"/>
  <c r="AA193" i="29" s="1"/>
  <c r="W194" i="29"/>
  <c r="AA194" i="29" s="1"/>
  <c r="W195" i="29"/>
  <c r="AA195" i="29" s="1"/>
  <c r="W196" i="29"/>
  <c r="AA196" i="29" s="1"/>
  <c r="W197" i="29"/>
  <c r="AA197" i="29" s="1"/>
  <c r="W198" i="29"/>
  <c r="AA198" i="29" s="1"/>
  <c r="W199" i="29"/>
  <c r="W200" i="29"/>
  <c r="W201" i="29"/>
  <c r="W202" i="29"/>
  <c r="W203" i="29"/>
  <c r="Y191" i="29"/>
  <c r="Y192" i="29"/>
  <c r="Y193" i="29"/>
  <c r="Y194" i="29"/>
  <c r="Y195" i="29"/>
  <c r="Y196" i="29"/>
  <c r="Y197" i="29"/>
  <c r="Y198" i="29"/>
  <c r="Y199" i="29"/>
  <c r="Y200" i="29"/>
  <c r="Z191" i="29"/>
  <c r="Z192" i="29"/>
  <c r="Z193" i="29"/>
  <c r="Z194" i="29"/>
  <c r="Z195" i="29"/>
  <c r="Z196" i="29"/>
  <c r="Z197" i="29"/>
  <c r="Z198" i="29"/>
  <c r="Z199" i="29"/>
  <c r="Z200" i="29"/>
  <c r="Z201" i="29"/>
  <c r="Z202" i="29"/>
  <c r="Z203" i="29"/>
  <c r="AB191" i="29"/>
  <c r="AB192" i="29"/>
  <c r="AB193" i="29"/>
  <c r="AB194" i="29"/>
  <c r="AB195" i="29"/>
  <c r="AB196" i="29"/>
  <c r="AB197" i="29"/>
  <c r="AB198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N178" i="29"/>
  <c r="T178" i="29" s="1"/>
  <c r="N179" i="29"/>
  <c r="X179" i="29" s="1"/>
  <c r="N180" i="29"/>
  <c r="X180" i="29" s="1"/>
  <c r="N181" i="29"/>
  <c r="O181" i="29" s="1"/>
  <c r="N182" i="29"/>
  <c r="T182" i="29" s="1"/>
  <c r="N183" i="29"/>
  <c r="O183" i="29" s="1"/>
  <c r="N184" i="29"/>
  <c r="O184" i="29" s="1"/>
  <c r="N185" i="29"/>
  <c r="O185" i="29" s="1"/>
  <c r="N186" i="29"/>
  <c r="O186" i="29" s="1"/>
  <c r="N187" i="29"/>
  <c r="O187" i="29" s="1"/>
  <c r="N188" i="29"/>
  <c r="O188" i="29" s="1"/>
  <c r="N189" i="29"/>
  <c r="O189" i="29" s="1"/>
  <c r="N190" i="29"/>
  <c r="T190" i="29" s="1"/>
  <c r="Q178" i="29"/>
  <c r="Q179" i="29"/>
  <c r="Q180" i="29"/>
  <c r="Q181" i="29"/>
  <c r="Q182" i="29"/>
  <c r="Q183" i="29"/>
  <c r="Q184" i="29"/>
  <c r="Q185" i="29"/>
  <c r="Q186" i="29"/>
  <c r="Q187" i="29"/>
  <c r="Q188" i="29"/>
  <c r="Q189" i="29"/>
  <c r="Q190" i="29"/>
  <c r="S178" i="29"/>
  <c r="S179" i="29"/>
  <c r="S180" i="29"/>
  <c r="S181" i="29"/>
  <c r="S182" i="29"/>
  <c r="S183" i="29"/>
  <c r="S184" i="29"/>
  <c r="S185" i="29"/>
  <c r="S186" i="29"/>
  <c r="S187" i="29"/>
  <c r="S188" i="29"/>
  <c r="S189" i="29"/>
  <c r="S190" i="29"/>
  <c r="W178" i="29"/>
  <c r="AA178" i="29" s="1"/>
  <c r="W179" i="29"/>
  <c r="AA179" i="29" s="1"/>
  <c r="W180" i="29"/>
  <c r="AA180" i="29" s="1"/>
  <c r="W181" i="29"/>
  <c r="AA181" i="29" s="1"/>
  <c r="W182" i="29"/>
  <c r="AA182" i="29" s="1"/>
  <c r="W183" i="29"/>
  <c r="AA183" i="29" s="1"/>
  <c r="W184" i="29"/>
  <c r="AA184" i="29" s="1"/>
  <c r="W185" i="29"/>
  <c r="AA185" i="29" s="1"/>
  <c r="W186" i="29"/>
  <c r="AA186" i="29" s="1"/>
  <c r="W187" i="29"/>
  <c r="AA187" i="29" s="1"/>
  <c r="W188" i="29"/>
  <c r="AA188" i="29" s="1"/>
  <c r="W189" i="29"/>
  <c r="AA189" i="29" s="1"/>
  <c r="W190" i="29"/>
  <c r="AA190" i="29" s="1"/>
  <c r="X182" i="29"/>
  <c r="Y178" i="29"/>
  <c r="Y179" i="29"/>
  <c r="Y180" i="29"/>
  <c r="Y181" i="29"/>
  <c r="Y182" i="29"/>
  <c r="Y183" i="29"/>
  <c r="Y184" i="29"/>
  <c r="Y185" i="29"/>
  <c r="Y186" i="29"/>
  <c r="Y187" i="29"/>
  <c r="Y188" i="29"/>
  <c r="Y189" i="29"/>
  <c r="Y190" i="29"/>
  <c r="Z178" i="29"/>
  <c r="Z179" i="29"/>
  <c r="Z180" i="29"/>
  <c r="Z181" i="29"/>
  <c r="Z182" i="29"/>
  <c r="Z183" i="29"/>
  <c r="Z184" i="29"/>
  <c r="Z185" i="29"/>
  <c r="Z186" i="29"/>
  <c r="Z187" i="29"/>
  <c r="Z188" i="29"/>
  <c r="Z189" i="29"/>
  <c r="Z190" i="29"/>
  <c r="AB178" i="29"/>
  <c r="AB179" i="29"/>
  <c r="AB180" i="29"/>
  <c r="AB181" i="29"/>
  <c r="AB182" i="29"/>
  <c r="AB183" i="29"/>
  <c r="AB184" i="29"/>
  <c r="AB185" i="29"/>
  <c r="AB186" i="29"/>
  <c r="AB187" i="29"/>
  <c r="AB188" i="29"/>
  <c r="AB189" i="29"/>
  <c r="AB190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N164" i="29"/>
  <c r="X164" i="29" s="1"/>
  <c r="N165" i="29"/>
  <c r="T165" i="29" s="1"/>
  <c r="N166" i="29"/>
  <c r="O166" i="29" s="1"/>
  <c r="N167" i="29"/>
  <c r="T167" i="29" s="1"/>
  <c r="N168" i="29"/>
  <c r="X168" i="29" s="1"/>
  <c r="N169" i="29"/>
  <c r="X169" i="29" s="1"/>
  <c r="N170" i="29"/>
  <c r="O170" i="29" s="1"/>
  <c r="N171" i="29"/>
  <c r="O171" i="29" s="1"/>
  <c r="N172" i="29"/>
  <c r="O172" i="29" s="1"/>
  <c r="N173" i="29"/>
  <c r="O173" i="29" s="1"/>
  <c r="N174" i="29"/>
  <c r="O174" i="29" s="1"/>
  <c r="N175" i="29"/>
  <c r="X175" i="29" s="1"/>
  <c r="N176" i="29"/>
  <c r="X176" i="29" s="1"/>
  <c r="N177" i="29"/>
  <c r="X177" i="29" s="1"/>
  <c r="Q164" i="29"/>
  <c r="Q165" i="29"/>
  <c r="Q166" i="29"/>
  <c r="Q167" i="29"/>
  <c r="Q168" i="29"/>
  <c r="Q169" i="29"/>
  <c r="Q170" i="29"/>
  <c r="Q171" i="29"/>
  <c r="Q172" i="29"/>
  <c r="Q173" i="29"/>
  <c r="Q174" i="29"/>
  <c r="Q175" i="29"/>
  <c r="Q176" i="29"/>
  <c r="Q177" i="29"/>
  <c r="S164" i="29"/>
  <c r="S165" i="29"/>
  <c r="S166" i="29"/>
  <c r="S167" i="29"/>
  <c r="S168" i="29"/>
  <c r="S169" i="29"/>
  <c r="S170" i="29"/>
  <c r="S171" i="29"/>
  <c r="S172" i="29"/>
  <c r="S173" i="29"/>
  <c r="S174" i="29"/>
  <c r="S175" i="29"/>
  <c r="S176" i="29"/>
  <c r="S177" i="29"/>
  <c r="W164" i="29"/>
  <c r="AA164" i="29" s="1"/>
  <c r="W165" i="29"/>
  <c r="AA165" i="29" s="1"/>
  <c r="W166" i="29"/>
  <c r="AA166" i="29" s="1"/>
  <c r="W167" i="29"/>
  <c r="AA167" i="29" s="1"/>
  <c r="W168" i="29"/>
  <c r="AA168" i="29" s="1"/>
  <c r="W169" i="29"/>
  <c r="AA169" i="29" s="1"/>
  <c r="W170" i="29"/>
  <c r="AA170" i="29" s="1"/>
  <c r="W171" i="29"/>
  <c r="AA171" i="29" s="1"/>
  <c r="W172" i="29"/>
  <c r="AA172" i="29" s="1"/>
  <c r="W173" i="29"/>
  <c r="AA173" i="29" s="1"/>
  <c r="W174" i="29"/>
  <c r="AA174" i="29" s="1"/>
  <c r="W175" i="29"/>
  <c r="AA175" i="29" s="1"/>
  <c r="W176" i="29"/>
  <c r="AA176" i="29" s="1"/>
  <c r="W177" i="29"/>
  <c r="AA177" i="29" s="1"/>
  <c r="Y164" i="29"/>
  <c r="Y165" i="29"/>
  <c r="Y166" i="29"/>
  <c r="Y167" i="29"/>
  <c r="Y168" i="29"/>
  <c r="Y169" i="29"/>
  <c r="Y170" i="29"/>
  <c r="Y171" i="29"/>
  <c r="Y172" i="29"/>
  <c r="Y173" i="29"/>
  <c r="Y174" i="29"/>
  <c r="Y175" i="29"/>
  <c r="Y176" i="29"/>
  <c r="Y177" i="29"/>
  <c r="Z164" i="29"/>
  <c r="Z165" i="29"/>
  <c r="Z166" i="29"/>
  <c r="Z167" i="29"/>
  <c r="Z168" i="29"/>
  <c r="Z169" i="29"/>
  <c r="Z170" i="29"/>
  <c r="Z171" i="29"/>
  <c r="Z172" i="29"/>
  <c r="Z173" i="29"/>
  <c r="Z174" i="29"/>
  <c r="Z175" i="29"/>
  <c r="Z176" i="29"/>
  <c r="Z177" i="29"/>
  <c r="AB164" i="29"/>
  <c r="AB165" i="29"/>
  <c r="AB166" i="29"/>
  <c r="AB167" i="29"/>
  <c r="AB168" i="29"/>
  <c r="AB169" i="29"/>
  <c r="AB170" i="29"/>
  <c r="AB171" i="29"/>
  <c r="AB172" i="29"/>
  <c r="AB173" i="29"/>
  <c r="AB174" i="29"/>
  <c r="AB175" i="29"/>
  <c r="AB176" i="29"/>
  <c r="AB177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N152" i="29"/>
  <c r="T152" i="29" s="1"/>
  <c r="N153" i="29"/>
  <c r="T153" i="29" s="1"/>
  <c r="N154" i="29"/>
  <c r="T154" i="29" s="1"/>
  <c r="N155" i="29"/>
  <c r="T155" i="29" s="1"/>
  <c r="N156" i="29"/>
  <c r="X156" i="29" s="1"/>
  <c r="N157" i="29"/>
  <c r="X157" i="29" s="1"/>
  <c r="N158" i="29"/>
  <c r="X158" i="29" s="1"/>
  <c r="N159" i="29"/>
  <c r="T159" i="29" s="1"/>
  <c r="N160" i="29"/>
  <c r="X160" i="29" s="1"/>
  <c r="N161" i="29"/>
  <c r="O161" i="29" s="1"/>
  <c r="N162" i="29"/>
  <c r="O162" i="29" s="1"/>
  <c r="N163" i="29"/>
  <c r="T163" i="29" s="1"/>
  <c r="Q152" i="29"/>
  <c r="Q153" i="29"/>
  <c r="Q154" i="29"/>
  <c r="Q155" i="29"/>
  <c r="Q156" i="29"/>
  <c r="Q157" i="29"/>
  <c r="Q158" i="29"/>
  <c r="Q159" i="29"/>
  <c r="Q160" i="29"/>
  <c r="Q161" i="29"/>
  <c r="Q162" i="29"/>
  <c r="Q163" i="29"/>
  <c r="S152" i="29"/>
  <c r="S153" i="29"/>
  <c r="S154" i="29"/>
  <c r="S155" i="29"/>
  <c r="S156" i="29"/>
  <c r="S157" i="29"/>
  <c r="S158" i="29"/>
  <c r="S159" i="29"/>
  <c r="S160" i="29"/>
  <c r="S161" i="29"/>
  <c r="S162" i="29"/>
  <c r="S163" i="29"/>
  <c r="W152" i="29"/>
  <c r="AA152" i="29" s="1"/>
  <c r="W153" i="29"/>
  <c r="AA153" i="29" s="1"/>
  <c r="W154" i="29"/>
  <c r="AA154" i="29" s="1"/>
  <c r="W155" i="29"/>
  <c r="AA155" i="29" s="1"/>
  <c r="W156" i="29"/>
  <c r="AA156" i="29" s="1"/>
  <c r="W157" i="29"/>
  <c r="AA157" i="29" s="1"/>
  <c r="W158" i="29"/>
  <c r="AA158" i="29" s="1"/>
  <c r="W159" i="29"/>
  <c r="AA159" i="29" s="1"/>
  <c r="W160" i="29"/>
  <c r="AA160" i="29" s="1"/>
  <c r="W161" i="29"/>
  <c r="AA161" i="29" s="1"/>
  <c r="W162" i="29"/>
  <c r="AA162" i="29" s="1"/>
  <c r="W163" i="29"/>
  <c r="AA163" i="29" s="1"/>
  <c r="Y152" i="29"/>
  <c r="Y153" i="29"/>
  <c r="Y154" i="29"/>
  <c r="Y155" i="29"/>
  <c r="Y156" i="29"/>
  <c r="Y157" i="29"/>
  <c r="Y158" i="29"/>
  <c r="Y159" i="29"/>
  <c r="Y160" i="29"/>
  <c r="Y161" i="29"/>
  <c r="Y162" i="29"/>
  <c r="Y163" i="29"/>
  <c r="Z152" i="29"/>
  <c r="Z153" i="29"/>
  <c r="Z154" i="29"/>
  <c r="Z155" i="29"/>
  <c r="Z156" i="29"/>
  <c r="Z157" i="29"/>
  <c r="Z158" i="29"/>
  <c r="Z159" i="29"/>
  <c r="Z160" i="29"/>
  <c r="Z161" i="29"/>
  <c r="Z162" i="29"/>
  <c r="Z163" i="29"/>
  <c r="AB152" i="29"/>
  <c r="AB153" i="29"/>
  <c r="AB154" i="29"/>
  <c r="AB155" i="29"/>
  <c r="AB156" i="29"/>
  <c r="AB157" i="29"/>
  <c r="AB158" i="29"/>
  <c r="AB159" i="29"/>
  <c r="AB160" i="29"/>
  <c r="AB161" i="29"/>
  <c r="AB162" i="29"/>
  <c r="AB163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N140" i="29"/>
  <c r="O140" i="29" s="1"/>
  <c r="N141" i="29"/>
  <c r="O141" i="29" s="1"/>
  <c r="N142" i="29"/>
  <c r="O142" i="29" s="1"/>
  <c r="N143" i="29"/>
  <c r="O143" i="29" s="1"/>
  <c r="N144" i="29"/>
  <c r="T144" i="29" s="1"/>
  <c r="N145" i="29"/>
  <c r="T145" i="29" s="1"/>
  <c r="N146" i="29"/>
  <c r="T146" i="29" s="1"/>
  <c r="N147" i="29"/>
  <c r="X147" i="29" s="1"/>
  <c r="N148" i="29"/>
  <c r="O148" i="29" s="1"/>
  <c r="N149" i="29"/>
  <c r="O149" i="29" s="1"/>
  <c r="N150" i="29"/>
  <c r="O150" i="29" s="1"/>
  <c r="N151" i="29"/>
  <c r="O151" i="29" s="1"/>
  <c r="Q140" i="29"/>
  <c r="Q141" i="29"/>
  <c r="Q142" i="29"/>
  <c r="Q143" i="29"/>
  <c r="Q144" i="29"/>
  <c r="Q145" i="29"/>
  <c r="Q146" i="29"/>
  <c r="Q147" i="29"/>
  <c r="Q148" i="29"/>
  <c r="Q149" i="29"/>
  <c r="Q150" i="29"/>
  <c r="Q151" i="29"/>
  <c r="S140" i="29"/>
  <c r="S141" i="29"/>
  <c r="S142" i="29"/>
  <c r="S143" i="29"/>
  <c r="S144" i="29"/>
  <c r="S145" i="29"/>
  <c r="S146" i="29"/>
  <c r="S147" i="29"/>
  <c r="S148" i="29"/>
  <c r="S149" i="29"/>
  <c r="S150" i="29"/>
  <c r="S151" i="29"/>
  <c r="W140" i="29"/>
  <c r="AA140" i="29" s="1"/>
  <c r="W141" i="29"/>
  <c r="AA141" i="29" s="1"/>
  <c r="W142" i="29"/>
  <c r="AA142" i="29" s="1"/>
  <c r="W143" i="29"/>
  <c r="AA143" i="29" s="1"/>
  <c r="W144" i="29"/>
  <c r="AA144" i="29" s="1"/>
  <c r="W145" i="29"/>
  <c r="AA145" i="29" s="1"/>
  <c r="W146" i="29"/>
  <c r="AA146" i="29" s="1"/>
  <c r="W147" i="29"/>
  <c r="AA147" i="29" s="1"/>
  <c r="W148" i="29"/>
  <c r="AA148" i="29" s="1"/>
  <c r="W149" i="29"/>
  <c r="AA149" i="29" s="1"/>
  <c r="W150" i="29"/>
  <c r="AA150" i="29" s="1"/>
  <c r="W151" i="29"/>
  <c r="AA151" i="29" s="1"/>
  <c r="Y140" i="29"/>
  <c r="Y141" i="29"/>
  <c r="Y142" i="29"/>
  <c r="Y143" i="29"/>
  <c r="Y144" i="29"/>
  <c r="Y145" i="29"/>
  <c r="Y146" i="29"/>
  <c r="Y147" i="29"/>
  <c r="Y148" i="29"/>
  <c r="Y149" i="29"/>
  <c r="Y150" i="29"/>
  <c r="Y151" i="29"/>
  <c r="Z140" i="29"/>
  <c r="Z141" i="29"/>
  <c r="Z142" i="29"/>
  <c r="Z143" i="29"/>
  <c r="Z144" i="29"/>
  <c r="Z145" i="29"/>
  <c r="Z146" i="29"/>
  <c r="Z147" i="29"/>
  <c r="Z148" i="29"/>
  <c r="Z149" i="29"/>
  <c r="Z150" i="29"/>
  <c r="Z151" i="29"/>
  <c r="AB140" i="29"/>
  <c r="AB141" i="29"/>
  <c r="AB142" i="29"/>
  <c r="AB143" i="29"/>
  <c r="AB144" i="29"/>
  <c r="AB145" i="29"/>
  <c r="AB146" i="29"/>
  <c r="AB147" i="29"/>
  <c r="AB148" i="29"/>
  <c r="AB149" i="29"/>
  <c r="AB150" i="29"/>
  <c r="AB151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N127" i="29"/>
  <c r="X127" i="29" s="1"/>
  <c r="N128" i="29"/>
  <c r="O128" i="29" s="1"/>
  <c r="N129" i="29"/>
  <c r="O129" i="29" s="1"/>
  <c r="N130" i="29"/>
  <c r="X130" i="29" s="1"/>
  <c r="N131" i="29"/>
  <c r="O131" i="29" s="1"/>
  <c r="N132" i="29"/>
  <c r="T132" i="29" s="1"/>
  <c r="N133" i="29"/>
  <c r="O133" i="29" s="1"/>
  <c r="N134" i="29"/>
  <c r="O134" i="29" s="1"/>
  <c r="N135" i="29"/>
  <c r="O135" i="29" s="1"/>
  <c r="N136" i="29"/>
  <c r="O136" i="29" s="1"/>
  <c r="N137" i="29"/>
  <c r="O137" i="29" s="1"/>
  <c r="N138" i="29"/>
  <c r="X138" i="29" s="1"/>
  <c r="N139" i="29"/>
  <c r="O139" i="29" s="1"/>
  <c r="Q127" i="29"/>
  <c r="Q128" i="29"/>
  <c r="Q129" i="29"/>
  <c r="Q130" i="29"/>
  <c r="Q131" i="29"/>
  <c r="Q132" i="29"/>
  <c r="Q133" i="29"/>
  <c r="Q134" i="29"/>
  <c r="Q135" i="29"/>
  <c r="Q136" i="29"/>
  <c r="Q137" i="29"/>
  <c r="Q138" i="29"/>
  <c r="Q139" i="29"/>
  <c r="S127" i="29"/>
  <c r="S128" i="29"/>
  <c r="S129" i="29"/>
  <c r="S130" i="29"/>
  <c r="S131" i="29"/>
  <c r="S132" i="29"/>
  <c r="S133" i="29"/>
  <c r="S134" i="29"/>
  <c r="S135" i="29"/>
  <c r="S136" i="29"/>
  <c r="S137" i="29"/>
  <c r="S138" i="29"/>
  <c r="S139" i="29"/>
  <c r="W127" i="29"/>
  <c r="AA127" i="29" s="1"/>
  <c r="W128" i="29"/>
  <c r="AA128" i="29" s="1"/>
  <c r="W129" i="29"/>
  <c r="AA129" i="29" s="1"/>
  <c r="W130" i="29"/>
  <c r="AA130" i="29" s="1"/>
  <c r="W131" i="29"/>
  <c r="AA131" i="29" s="1"/>
  <c r="W132" i="29"/>
  <c r="AA132" i="29" s="1"/>
  <c r="W133" i="29"/>
  <c r="AA133" i="29" s="1"/>
  <c r="W134" i="29"/>
  <c r="AA134" i="29" s="1"/>
  <c r="W135" i="29"/>
  <c r="AA135" i="29" s="1"/>
  <c r="W136" i="29"/>
  <c r="AA136" i="29" s="1"/>
  <c r="W137" i="29"/>
  <c r="AA137" i="29" s="1"/>
  <c r="W138" i="29"/>
  <c r="AA138" i="29" s="1"/>
  <c r="W139" i="29"/>
  <c r="AA139" i="29" s="1"/>
  <c r="Y127" i="29"/>
  <c r="Y128" i="29"/>
  <c r="Y129" i="29"/>
  <c r="Y130" i="29"/>
  <c r="Y131" i="29"/>
  <c r="Y132" i="29"/>
  <c r="Y133" i="29"/>
  <c r="Y134" i="29"/>
  <c r="Y135" i="29"/>
  <c r="Y136" i="29"/>
  <c r="Y137" i="29"/>
  <c r="Y138" i="29"/>
  <c r="Y139" i="29"/>
  <c r="Z127" i="29"/>
  <c r="Z128" i="29"/>
  <c r="Z129" i="29"/>
  <c r="Z130" i="29"/>
  <c r="Z131" i="29"/>
  <c r="Z132" i="29"/>
  <c r="Z133" i="29"/>
  <c r="Z134" i="29"/>
  <c r="Z135" i="29"/>
  <c r="Z136" i="29"/>
  <c r="Z137" i="29"/>
  <c r="Z138" i="29"/>
  <c r="Z139" i="29"/>
  <c r="AB127" i="29"/>
  <c r="AB128" i="29"/>
  <c r="AB129" i="29"/>
  <c r="AB130" i="29"/>
  <c r="AB131" i="29"/>
  <c r="AB132" i="29"/>
  <c r="AB133" i="29"/>
  <c r="AB134" i="29"/>
  <c r="AB135" i="29"/>
  <c r="AB136" i="29"/>
  <c r="AB137" i="29"/>
  <c r="AB138" i="29"/>
  <c r="AB139" i="29"/>
  <c r="M126" i="29"/>
  <c r="N126" i="29"/>
  <c r="T126" i="29" s="1"/>
  <c r="Q126" i="29"/>
  <c r="S126" i="29"/>
  <c r="W126" i="29"/>
  <c r="AA126" i="29" s="1"/>
  <c r="Y126" i="29"/>
  <c r="Z126" i="29"/>
  <c r="AB126" i="29"/>
  <c r="BD80" i="29"/>
  <c r="M122" i="29"/>
  <c r="M123" i="29"/>
  <c r="M124" i="29"/>
  <c r="M125" i="29"/>
  <c r="N122" i="29"/>
  <c r="T122" i="29" s="1"/>
  <c r="N123" i="29"/>
  <c r="O123" i="29" s="1"/>
  <c r="N124" i="29"/>
  <c r="O124" i="29" s="1"/>
  <c r="N125" i="29"/>
  <c r="O125" i="29" s="1"/>
  <c r="Q122" i="29"/>
  <c r="Q123" i="29"/>
  <c r="Q124" i="29"/>
  <c r="Q125" i="29"/>
  <c r="S122" i="29"/>
  <c r="S123" i="29"/>
  <c r="S124" i="29"/>
  <c r="S125" i="29"/>
  <c r="W122" i="29"/>
  <c r="AA122" i="29" s="1"/>
  <c r="W123" i="29"/>
  <c r="AA123" i="29" s="1"/>
  <c r="W124" i="29"/>
  <c r="AA124" i="29" s="1"/>
  <c r="W125" i="29"/>
  <c r="AA125" i="29" s="1"/>
  <c r="Y122" i="29"/>
  <c r="Y123" i="29"/>
  <c r="Y124" i="29"/>
  <c r="Y125" i="29"/>
  <c r="Z122" i="29"/>
  <c r="Z123" i="29"/>
  <c r="Z124" i="29"/>
  <c r="Z125" i="29"/>
  <c r="AB122" i="29"/>
  <c r="AB123" i="29"/>
  <c r="AB124" i="29"/>
  <c r="AB125" i="29"/>
  <c r="Z2" i="29"/>
  <c r="Z3" i="29"/>
  <c r="Z4" i="29"/>
  <c r="Z5" i="29"/>
  <c r="Z6" i="29"/>
  <c r="Z7" i="29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32" i="29"/>
  <c r="Z33" i="29"/>
  <c r="Z34" i="29"/>
  <c r="Z35" i="29"/>
  <c r="Z36" i="29"/>
  <c r="Z37" i="29"/>
  <c r="Z38" i="29"/>
  <c r="Z39" i="29"/>
  <c r="Z40" i="29"/>
  <c r="Z41" i="29"/>
  <c r="Z42" i="29"/>
  <c r="Z43" i="29"/>
  <c r="Z44" i="29"/>
  <c r="Z45" i="29"/>
  <c r="Z46" i="29"/>
  <c r="Z47" i="29"/>
  <c r="Z48" i="29"/>
  <c r="Z49" i="29"/>
  <c r="Z50" i="29"/>
  <c r="Z51" i="29"/>
  <c r="Z52" i="29"/>
  <c r="Z53" i="29"/>
  <c r="Z54" i="29"/>
  <c r="Z55" i="29"/>
  <c r="Z56" i="29"/>
  <c r="Z57" i="29"/>
  <c r="Z58" i="29"/>
  <c r="Z59" i="29"/>
  <c r="Z60" i="29"/>
  <c r="Z61" i="29"/>
  <c r="Z62" i="29"/>
  <c r="Z63" i="29"/>
  <c r="Z64" i="29"/>
  <c r="Z65" i="29"/>
  <c r="Z66" i="29"/>
  <c r="Z67" i="29"/>
  <c r="Z68" i="29"/>
  <c r="Z69" i="29"/>
  <c r="Z70" i="29"/>
  <c r="Z71" i="29"/>
  <c r="Z72" i="29"/>
  <c r="Z73" i="29"/>
  <c r="Z74" i="29"/>
  <c r="Z75" i="29"/>
  <c r="Z76" i="29"/>
  <c r="Z77" i="29"/>
  <c r="Z78" i="29"/>
  <c r="Z79" i="29"/>
  <c r="Z80" i="29"/>
  <c r="Z81" i="29"/>
  <c r="Z82" i="29"/>
  <c r="Z83" i="29"/>
  <c r="Z84" i="29"/>
  <c r="Z85" i="29"/>
  <c r="Z86" i="29"/>
  <c r="Z87" i="29"/>
  <c r="Z88" i="29"/>
  <c r="Z89" i="29"/>
  <c r="Z90" i="29"/>
  <c r="Z91" i="29"/>
  <c r="Z92" i="29"/>
  <c r="Z93" i="29"/>
  <c r="Z94" i="29"/>
  <c r="Z95" i="29"/>
  <c r="Z96" i="29"/>
  <c r="Z97" i="29"/>
  <c r="Z98" i="29"/>
  <c r="Z99" i="29"/>
  <c r="Z100" i="29"/>
  <c r="Z101" i="29"/>
  <c r="Z102" i="29"/>
  <c r="Z103" i="29"/>
  <c r="Z104" i="29"/>
  <c r="Z105" i="29"/>
  <c r="Z106" i="29"/>
  <c r="Z107" i="29"/>
  <c r="Z108" i="29"/>
  <c r="Z109" i="29"/>
  <c r="Z110" i="29"/>
  <c r="Z111" i="29"/>
  <c r="Z112" i="29"/>
  <c r="Z113" i="29"/>
  <c r="Z114" i="29"/>
  <c r="Z115" i="29"/>
  <c r="Z116" i="29"/>
  <c r="Z117" i="29"/>
  <c r="Z118" i="29"/>
  <c r="Z119" i="29"/>
  <c r="Z120" i="29"/>
  <c r="Z121" i="29"/>
  <c r="Y106" i="29"/>
  <c r="O20" i="5"/>
  <c r="P20" i="5"/>
  <c r="Q20" i="5"/>
  <c r="N20" i="5"/>
  <c r="O244" i="29" l="1"/>
  <c r="T205" i="29"/>
  <c r="Z41" i="4"/>
  <c r="Z38" i="4"/>
  <c r="Z39" i="4"/>
  <c r="Z40" i="4"/>
  <c r="AB203" i="29"/>
  <c r="AA203" i="29"/>
  <c r="AA201" i="29"/>
  <c r="Y203" i="29"/>
  <c r="AA200" i="29"/>
  <c r="Z204" i="29"/>
  <c r="AB202" i="29"/>
  <c r="Z205" i="29"/>
  <c r="AA199" i="29"/>
  <c r="AB201" i="29"/>
  <c r="Y206" i="29"/>
  <c r="AA202" i="29"/>
  <c r="X264" i="29"/>
  <c r="T245" i="29"/>
  <c r="X230" i="29"/>
  <c r="T244" i="29"/>
  <c r="X251" i="29"/>
  <c r="T195" i="29"/>
  <c r="O246" i="29"/>
  <c r="T269" i="29"/>
  <c r="X269" i="29"/>
  <c r="T247" i="29"/>
  <c r="X258" i="29"/>
  <c r="O264" i="29"/>
  <c r="T268" i="29"/>
  <c r="T246" i="29"/>
  <c r="T249" i="29"/>
  <c r="O248" i="29"/>
  <c r="T214" i="29"/>
  <c r="T229" i="29"/>
  <c r="X259" i="29"/>
  <c r="X187" i="29"/>
  <c r="T258" i="29"/>
  <c r="T252" i="29"/>
  <c r="T251" i="29"/>
  <c r="X186" i="29"/>
  <c r="X245" i="29"/>
  <c r="O237" i="29"/>
  <c r="X271" i="29"/>
  <c r="T271" i="29"/>
  <c r="O236" i="29"/>
  <c r="X270" i="29"/>
  <c r="T270" i="29"/>
  <c r="AF46" i="6"/>
  <c r="AT46" i="6"/>
  <c r="AF47" i="6"/>
  <c r="AF48" i="6"/>
  <c r="AT48" i="6"/>
  <c r="AT47" i="6"/>
  <c r="O235" i="29"/>
  <c r="T248" i="29"/>
  <c r="O263" i="29"/>
  <c r="T256" i="29"/>
  <c r="T257" i="29"/>
  <c r="O262" i="29"/>
  <c r="O260" i="29"/>
  <c r="T236" i="29"/>
  <c r="X250" i="29"/>
  <c r="X263" i="29"/>
  <c r="X220" i="29"/>
  <c r="T235" i="29"/>
  <c r="T238" i="29"/>
  <c r="O257" i="29"/>
  <c r="X262" i="29"/>
  <c r="T220" i="29"/>
  <c r="O238" i="29"/>
  <c r="X256" i="29"/>
  <c r="T233" i="29"/>
  <c r="X261" i="29"/>
  <c r="T261" i="29"/>
  <c r="X260" i="29"/>
  <c r="T225" i="29"/>
  <c r="X242" i="29"/>
  <c r="O234" i="29"/>
  <c r="X241" i="29"/>
  <c r="O233" i="29"/>
  <c r="X240" i="29"/>
  <c r="T255" i="29"/>
  <c r="T241" i="29"/>
  <c r="T228" i="29"/>
  <c r="O243" i="29"/>
  <c r="T239" i="29"/>
  <c r="O253" i="29"/>
  <c r="X197" i="29"/>
  <c r="X234" i="29"/>
  <c r="X249" i="29"/>
  <c r="O250" i="29"/>
  <c r="X243" i="29"/>
  <c r="X239" i="29"/>
  <c r="T253" i="29"/>
  <c r="O255" i="29"/>
  <c r="O254" i="29"/>
  <c r="O224" i="29"/>
  <c r="T254" i="29"/>
  <c r="O240" i="29"/>
  <c r="O252" i="29"/>
  <c r="X232" i="29"/>
  <c r="X247" i="29"/>
  <c r="X185" i="29"/>
  <c r="X225" i="29"/>
  <c r="X209" i="29"/>
  <c r="X221" i="29"/>
  <c r="O242" i="29"/>
  <c r="O222" i="29"/>
  <c r="O229" i="29"/>
  <c r="O221" i="29"/>
  <c r="T194" i="29"/>
  <c r="T227" i="29"/>
  <c r="X203" i="29"/>
  <c r="T213" i="29"/>
  <c r="X198" i="29"/>
  <c r="T212" i="29"/>
  <c r="X226" i="29"/>
  <c r="T226" i="29"/>
  <c r="X231" i="29"/>
  <c r="X196" i="29"/>
  <c r="T204" i="29"/>
  <c r="X224" i="29"/>
  <c r="O232" i="29"/>
  <c r="X223" i="29"/>
  <c r="T223" i="29"/>
  <c r="X228" i="29"/>
  <c r="O231" i="29"/>
  <c r="X222" i="29"/>
  <c r="O219" i="29"/>
  <c r="X227" i="29"/>
  <c r="O230" i="29"/>
  <c r="O215" i="29"/>
  <c r="T237" i="29"/>
  <c r="O182" i="29"/>
  <c r="X219" i="29"/>
  <c r="O213" i="29"/>
  <c r="O212" i="29"/>
  <c r="O211" i="29"/>
  <c r="O210" i="29"/>
  <c r="X171" i="29"/>
  <c r="X184" i="29"/>
  <c r="T183" i="29"/>
  <c r="X195" i="29"/>
  <c r="X183" i="29"/>
  <c r="X194" i="29"/>
  <c r="O218" i="29"/>
  <c r="X218" i="29"/>
  <c r="O209" i="29"/>
  <c r="X217" i="29"/>
  <c r="T217" i="29"/>
  <c r="X216" i="29"/>
  <c r="T216" i="29"/>
  <c r="T211" i="29"/>
  <c r="T210" i="29"/>
  <c r="X215" i="29"/>
  <c r="X202" i="29"/>
  <c r="O196" i="29"/>
  <c r="T206" i="29"/>
  <c r="X201" i="29"/>
  <c r="X189" i="29"/>
  <c r="X200" i="29"/>
  <c r="X188" i="29"/>
  <c r="X199" i="29"/>
  <c r="X207" i="29"/>
  <c r="X206" i="29"/>
  <c r="X205" i="29"/>
  <c r="O208" i="29"/>
  <c r="X204" i="29"/>
  <c r="X181" i="29"/>
  <c r="X170" i="29"/>
  <c r="T169" i="29"/>
  <c r="O169" i="29"/>
  <c r="T181" i="29"/>
  <c r="X191" i="29"/>
  <c r="X214" i="29"/>
  <c r="X208" i="29"/>
  <c r="O207" i="29"/>
  <c r="T192" i="29"/>
  <c r="O193" i="29"/>
  <c r="T191" i="29"/>
  <c r="O168" i="29"/>
  <c r="X167" i="29"/>
  <c r="T168" i="29"/>
  <c r="O167" i="29"/>
  <c r="T203" i="29"/>
  <c r="O147" i="29"/>
  <c r="X162" i="29"/>
  <c r="T201" i="29"/>
  <c r="O202" i="29"/>
  <c r="T193" i="29"/>
  <c r="O192" i="29"/>
  <c r="X144" i="29"/>
  <c r="X163" i="29"/>
  <c r="O144" i="29"/>
  <c r="X161" i="29"/>
  <c r="T200" i="29"/>
  <c r="T199" i="29"/>
  <c r="T198" i="29"/>
  <c r="T197" i="29"/>
  <c r="O163" i="29"/>
  <c r="X122" i="29"/>
  <c r="X190" i="29"/>
  <c r="T161" i="29"/>
  <c r="X174" i="29"/>
  <c r="T162" i="29"/>
  <c r="X173" i="29"/>
  <c r="X178" i="29"/>
  <c r="X145" i="29"/>
  <c r="X172" i="29"/>
  <c r="T138" i="29"/>
  <c r="T164" i="29"/>
  <c r="O180" i="29"/>
  <c r="O179" i="29"/>
  <c r="O178" i="29"/>
  <c r="T177" i="29"/>
  <c r="T179" i="29"/>
  <c r="T147" i="29"/>
  <c r="T176" i="29"/>
  <c r="T189" i="29"/>
  <c r="O190" i="29"/>
  <c r="T175" i="29"/>
  <c r="T188" i="29"/>
  <c r="X166" i="29"/>
  <c r="T173" i="29"/>
  <c r="T187" i="29"/>
  <c r="T172" i="29"/>
  <c r="T186" i="29"/>
  <c r="T185" i="29"/>
  <c r="T137" i="29"/>
  <c r="T166" i="29"/>
  <c r="T180" i="29"/>
  <c r="X136" i="29"/>
  <c r="X135" i="29"/>
  <c r="O138" i="29"/>
  <c r="T171" i="29"/>
  <c r="T170" i="29"/>
  <c r="T184" i="29"/>
  <c r="O165" i="29"/>
  <c r="T150" i="29"/>
  <c r="O160" i="29"/>
  <c r="T174" i="29"/>
  <c r="O164" i="29"/>
  <c r="T151" i="29"/>
  <c r="X139" i="29"/>
  <c r="O159" i="29"/>
  <c r="X165" i="29"/>
  <c r="X150" i="29"/>
  <c r="T160" i="29"/>
  <c r="O157" i="29"/>
  <c r="O177" i="29"/>
  <c r="O127" i="29"/>
  <c r="T127" i="29"/>
  <c r="X151" i="29"/>
  <c r="O158" i="29"/>
  <c r="X128" i="29"/>
  <c r="X146" i="29"/>
  <c r="T158" i="29"/>
  <c r="O156" i="29"/>
  <c r="O176" i="29"/>
  <c r="T157" i="29"/>
  <c r="O175" i="29"/>
  <c r="T156" i="29"/>
  <c r="X134" i="29"/>
  <c r="X131" i="29"/>
  <c r="T135" i="29"/>
  <c r="X159" i="29"/>
  <c r="O155" i="29"/>
  <c r="T134" i="29"/>
  <c r="T131" i="29"/>
  <c r="O146" i="29"/>
  <c r="T130" i="29"/>
  <c r="T129" i="29"/>
  <c r="X143" i="29"/>
  <c r="X155" i="29"/>
  <c r="X129" i="29"/>
  <c r="O154" i="29"/>
  <c r="O153" i="29"/>
  <c r="O152" i="29"/>
  <c r="T128" i="29"/>
  <c r="X142" i="29"/>
  <c r="T143" i="29"/>
  <c r="X154" i="29"/>
  <c r="X153" i="29"/>
  <c r="X141" i="29"/>
  <c r="T142" i="29"/>
  <c r="X140" i="29"/>
  <c r="T141" i="29"/>
  <c r="X152" i="29"/>
  <c r="T140" i="29"/>
  <c r="O132" i="29"/>
  <c r="X149" i="29"/>
  <c r="T149" i="29"/>
  <c r="O145" i="29"/>
  <c r="X137" i="29"/>
  <c r="O130" i="29"/>
  <c r="X148" i="29"/>
  <c r="T148" i="29"/>
  <c r="X133" i="29"/>
  <c r="X132" i="29"/>
  <c r="T136" i="29"/>
  <c r="T133" i="29"/>
  <c r="O126" i="29"/>
  <c r="T139" i="29"/>
  <c r="X126" i="29"/>
  <c r="O122" i="29"/>
  <c r="X124" i="29"/>
  <c r="T124" i="29"/>
  <c r="T125" i="29"/>
  <c r="X123" i="29"/>
  <c r="T123" i="29"/>
  <c r="X125" i="29"/>
  <c r="N9" i="31"/>
  <c r="O16" i="5" l="1"/>
  <c r="O14" i="5"/>
  <c r="N16" i="5"/>
  <c r="N14" i="5"/>
  <c r="M14" i="5"/>
  <c r="M16" i="5"/>
  <c r="L12" i="5"/>
  <c r="L14" i="5"/>
  <c r="L16" i="5"/>
  <c r="M20" i="5"/>
  <c r="L20" i="5"/>
  <c r="M12" i="5"/>
  <c r="G46" i="6"/>
  <c r="G47" i="6"/>
  <c r="G48" i="6"/>
  <c r="F48" i="6"/>
  <c r="F47" i="6"/>
  <c r="F46" i="6"/>
  <c r="R45" i="6"/>
  <c r="M118" i="29" l="1"/>
  <c r="M119" i="29"/>
  <c r="M120" i="29"/>
  <c r="M121" i="29"/>
  <c r="N118" i="29"/>
  <c r="O118" i="29" s="1"/>
  <c r="N119" i="29"/>
  <c r="O119" i="29" s="1"/>
  <c r="N120" i="29"/>
  <c r="O120" i="29" s="1"/>
  <c r="N121" i="29"/>
  <c r="O121" i="29" s="1"/>
  <c r="Q118" i="29"/>
  <c r="Q119" i="29"/>
  <c r="Q120" i="29"/>
  <c r="Q121" i="29"/>
  <c r="S118" i="29"/>
  <c r="S119" i="29"/>
  <c r="S120" i="29"/>
  <c r="S121" i="29"/>
  <c r="W118" i="29"/>
  <c r="AA118" i="29" s="1"/>
  <c r="W119" i="29"/>
  <c r="AA119" i="29" s="1"/>
  <c r="W120" i="29"/>
  <c r="AA120" i="29" s="1"/>
  <c r="W121" i="29"/>
  <c r="AA121" i="29" s="1"/>
  <c r="Y118" i="29"/>
  <c r="Y119" i="29"/>
  <c r="Y120" i="29"/>
  <c r="Y121" i="29"/>
  <c r="AB118" i="29"/>
  <c r="AB119" i="29"/>
  <c r="AB120" i="29"/>
  <c r="AB121" i="29"/>
  <c r="M112" i="29"/>
  <c r="M113" i="29"/>
  <c r="M114" i="29"/>
  <c r="M115" i="29"/>
  <c r="M116" i="29"/>
  <c r="M117" i="29"/>
  <c r="N112" i="29"/>
  <c r="O112" i="29" s="1"/>
  <c r="N113" i="29"/>
  <c r="O113" i="29" s="1"/>
  <c r="N114" i="29"/>
  <c r="O114" i="29" s="1"/>
  <c r="N115" i="29"/>
  <c r="O115" i="29" s="1"/>
  <c r="N116" i="29"/>
  <c r="O116" i="29" s="1"/>
  <c r="N117" i="29"/>
  <c r="O117" i="29" s="1"/>
  <c r="Q112" i="29"/>
  <c r="Q113" i="29"/>
  <c r="Q114" i="29"/>
  <c r="Q115" i="29"/>
  <c r="Q116" i="29"/>
  <c r="Q117" i="29"/>
  <c r="S112" i="29"/>
  <c r="S113" i="29"/>
  <c r="S114" i="29"/>
  <c r="S115" i="29"/>
  <c r="S116" i="29"/>
  <c r="S117" i="29"/>
  <c r="W112" i="29"/>
  <c r="AA112" i="29" s="1"/>
  <c r="W113" i="29"/>
  <c r="AA113" i="29" s="1"/>
  <c r="W114" i="29"/>
  <c r="AA114" i="29" s="1"/>
  <c r="W115" i="29"/>
  <c r="AA115" i="29" s="1"/>
  <c r="W116" i="29"/>
  <c r="AA116" i="29" s="1"/>
  <c r="W117" i="29"/>
  <c r="AA117" i="29" s="1"/>
  <c r="Y112" i="29"/>
  <c r="Y113" i="29"/>
  <c r="Y114" i="29"/>
  <c r="Y115" i="29"/>
  <c r="Y116" i="29"/>
  <c r="Y117" i="29"/>
  <c r="AB112" i="29"/>
  <c r="AB113" i="29"/>
  <c r="AB114" i="29"/>
  <c r="AB115" i="29"/>
  <c r="AB116" i="29"/>
  <c r="AB117" i="29"/>
  <c r="M106" i="29"/>
  <c r="M107" i="29"/>
  <c r="M108" i="29"/>
  <c r="M109" i="29"/>
  <c r="M110" i="29"/>
  <c r="M111" i="29"/>
  <c r="N106" i="29"/>
  <c r="T106" i="29" s="1"/>
  <c r="N107" i="29"/>
  <c r="O107" i="29" s="1"/>
  <c r="N108" i="29"/>
  <c r="O108" i="29" s="1"/>
  <c r="N109" i="29"/>
  <c r="O109" i="29" s="1"/>
  <c r="N110" i="29"/>
  <c r="O110" i="29" s="1"/>
  <c r="N111" i="29"/>
  <c r="O111" i="29" s="1"/>
  <c r="Q106" i="29"/>
  <c r="Q107" i="29"/>
  <c r="Q108" i="29"/>
  <c r="Q109" i="29"/>
  <c r="Q110" i="29"/>
  <c r="Q111" i="29"/>
  <c r="S106" i="29"/>
  <c r="S107" i="29"/>
  <c r="S108" i="29"/>
  <c r="S109" i="29"/>
  <c r="S110" i="29"/>
  <c r="S111" i="29"/>
  <c r="W106" i="29"/>
  <c r="AA106" i="29" s="1"/>
  <c r="W107" i="29"/>
  <c r="AA107" i="29" s="1"/>
  <c r="W108" i="29"/>
  <c r="AA108" i="29" s="1"/>
  <c r="W109" i="29"/>
  <c r="AA109" i="29" s="1"/>
  <c r="W110" i="29"/>
  <c r="AA110" i="29" s="1"/>
  <c r="W111" i="29"/>
  <c r="AA111" i="29" s="1"/>
  <c r="Y107" i="29"/>
  <c r="Y108" i="29"/>
  <c r="Y109" i="29"/>
  <c r="Y110" i="29"/>
  <c r="Y111" i="29"/>
  <c r="AB106" i="29"/>
  <c r="AB107" i="29"/>
  <c r="AB108" i="29"/>
  <c r="AB109" i="29"/>
  <c r="AB110" i="29"/>
  <c r="AB111" i="29"/>
  <c r="M101" i="29"/>
  <c r="M102" i="29"/>
  <c r="M103" i="29"/>
  <c r="M104" i="29"/>
  <c r="M105" i="29"/>
  <c r="N101" i="29"/>
  <c r="O101" i="29" s="1"/>
  <c r="N102" i="29"/>
  <c r="O102" i="29" s="1"/>
  <c r="N103" i="29"/>
  <c r="T103" i="29" s="1"/>
  <c r="N104" i="29"/>
  <c r="O104" i="29" s="1"/>
  <c r="N105" i="29"/>
  <c r="T105" i="29" s="1"/>
  <c r="Q101" i="29"/>
  <c r="Q102" i="29"/>
  <c r="Q103" i="29"/>
  <c r="Q104" i="29"/>
  <c r="Q105" i="29"/>
  <c r="S101" i="29"/>
  <c r="S102" i="29"/>
  <c r="S103" i="29"/>
  <c r="S104" i="29"/>
  <c r="S105" i="29"/>
  <c r="W101" i="29"/>
  <c r="AA101" i="29" s="1"/>
  <c r="W102" i="29"/>
  <c r="AA102" i="29" s="1"/>
  <c r="W103" i="29"/>
  <c r="AA103" i="29" s="1"/>
  <c r="W104" i="29"/>
  <c r="AA104" i="29" s="1"/>
  <c r="W105" i="29"/>
  <c r="AA105" i="29" s="1"/>
  <c r="Y101" i="29"/>
  <c r="Y102" i="29"/>
  <c r="Y103" i="29"/>
  <c r="Y104" i="29"/>
  <c r="Y105" i="29"/>
  <c r="AB101" i="29"/>
  <c r="AB102" i="29"/>
  <c r="AB103" i="29"/>
  <c r="AB104" i="29"/>
  <c r="AB105" i="29"/>
  <c r="M95" i="29"/>
  <c r="M96" i="29"/>
  <c r="M97" i="29"/>
  <c r="M98" i="29"/>
  <c r="M99" i="29"/>
  <c r="M100" i="29"/>
  <c r="N95" i="29"/>
  <c r="T95" i="29" s="1"/>
  <c r="N96" i="29"/>
  <c r="O96" i="29" s="1"/>
  <c r="N97" i="29"/>
  <c r="O97" i="29" s="1"/>
  <c r="N98" i="29"/>
  <c r="O98" i="29" s="1"/>
  <c r="N99" i="29"/>
  <c r="O99" i="29" s="1"/>
  <c r="N100" i="29"/>
  <c r="O100" i="29" s="1"/>
  <c r="Q95" i="29"/>
  <c r="Q96" i="29"/>
  <c r="Q97" i="29"/>
  <c r="Q98" i="29"/>
  <c r="Q99" i="29"/>
  <c r="Q100" i="29"/>
  <c r="S95" i="29"/>
  <c r="S96" i="29"/>
  <c r="S97" i="29"/>
  <c r="S98" i="29"/>
  <c r="S99" i="29"/>
  <c r="S100" i="29"/>
  <c r="W95" i="29"/>
  <c r="AA95" i="29" s="1"/>
  <c r="W96" i="29"/>
  <c r="AA96" i="29" s="1"/>
  <c r="W97" i="29"/>
  <c r="AA97" i="29" s="1"/>
  <c r="W98" i="29"/>
  <c r="AA98" i="29" s="1"/>
  <c r="W99" i="29"/>
  <c r="AA99" i="29" s="1"/>
  <c r="W100" i="29"/>
  <c r="AA100" i="29" s="1"/>
  <c r="Y95" i="29"/>
  <c r="Y96" i="29"/>
  <c r="Y97" i="29"/>
  <c r="Y98" i="29"/>
  <c r="Y99" i="29"/>
  <c r="Y100" i="29"/>
  <c r="AB95" i="29"/>
  <c r="AB96" i="29"/>
  <c r="AB97" i="29"/>
  <c r="AB98" i="29"/>
  <c r="AB99" i="29"/>
  <c r="AB100" i="29"/>
  <c r="M88" i="29"/>
  <c r="M89" i="29"/>
  <c r="M90" i="29"/>
  <c r="M91" i="29"/>
  <c r="M92" i="29"/>
  <c r="M93" i="29"/>
  <c r="M94" i="29"/>
  <c r="N88" i="29"/>
  <c r="X88" i="29" s="1"/>
  <c r="N89" i="29"/>
  <c r="T89" i="29" s="1"/>
  <c r="N90" i="29"/>
  <c r="O90" i="29" s="1"/>
  <c r="N91" i="29"/>
  <c r="O91" i="29" s="1"/>
  <c r="N92" i="29"/>
  <c r="O92" i="29" s="1"/>
  <c r="N93" i="29"/>
  <c r="O93" i="29" s="1"/>
  <c r="N94" i="29"/>
  <c r="O94" i="29" s="1"/>
  <c r="Q88" i="29"/>
  <c r="Q89" i="29"/>
  <c r="Q90" i="29"/>
  <c r="Q91" i="29"/>
  <c r="Q92" i="29"/>
  <c r="Q93" i="29"/>
  <c r="Q94" i="29"/>
  <c r="S88" i="29"/>
  <c r="S89" i="29"/>
  <c r="S90" i="29"/>
  <c r="S91" i="29"/>
  <c r="S92" i="29"/>
  <c r="S93" i="29"/>
  <c r="S94" i="29"/>
  <c r="W88" i="29"/>
  <c r="AA88" i="29" s="1"/>
  <c r="W89" i="29"/>
  <c r="AA89" i="29" s="1"/>
  <c r="W90" i="29"/>
  <c r="AA90" i="29" s="1"/>
  <c r="W91" i="29"/>
  <c r="AA91" i="29" s="1"/>
  <c r="W92" i="29"/>
  <c r="AA92" i="29" s="1"/>
  <c r="W93" i="29"/>
  <c r="AA93" i="29" s="1"/>
  <c r="W94" i="29"/>
  <c r="AA94" i="29" s="1"/>
  <c r="Y88" i="29"/>
  <c r="Y89" i="29"/>
  <c r="Y90" i="29"/>
  <c r="Y91" i="29"/>
  <c r="Y92" i="29"/>
  <c r="Y93" i="29"/>
  <c r="Y94" i="29"/>
  <c r="AB88" i="29"/>
  <c r="AB89" i="29"/>
  <c r="AB90" i="29"/>
  <c r="AB91" i="29"/>
  <c r="AB92" i="29"/>
  <c r="AB93" i="29"/>
  <c r="AB94" i="29"/>
  <c r="M81" i="29"/>
  <c r="M82" i="29"/>
  <c r="M83" i="29"/>
  <c r="M84" i="29"/>
  <c r="M85" i="29"/>
  <c r="M86" i="29"/>
  <c r="M87" i="29"/>
  <c r="N81" i="29"/>
  <c r="X81" i="29" s="1"/>
  <c r="N82" i="29"/>
  <c r="O82" i="29" s="1"/>
  <c r="N83" i="29"/>
  <c r="O83" i="29" s="1"/>
  <c r="N84" i="29"/>
  <c r="O84" i="29" s="1"/>
  <c r="N85" i="29"/>
  <c r="O85" i="29" s="1"/>
  <c r="N86" i="29"/>
  <c r="O86" i="29" s="1"/>
  <c r="N87" i="29"/>
  <c r="O87" i="29" s="1"/>
  <c r="Q81" i="29"/>
  <c r="Q82" i="29"/>
  <c r="Q83" i="29"/>
  <c r="Q84" i="29"/>
  <c r="Q85" i="29"/>
  <c r="Q86" i="29"/>
  <c r="Q87" i="29"/>
  <c r="S81" i="29"/>
  <c r="S82" i="29"/>
  <c r="S83" i="29"/>
  <c r="S84" i="29"/>
  <c r="S85" i="29"/>
  <c r="S86" i="29"/>
  <c r="S87" i="29"/>
  <c r="W81" i="29"/>
  <c r="AA81" i="29" s="1"/>
  <c r="W82" i="29"/>
  <c r="AA82" i="29" s="1"/>
  <c r="W83" i="29"/>
  <c r="AA83" i="29" s="1"/>
  <c r="W84" i="29"/>
  <c r="AA84" i="29" s="1"/>
  <c r="W85" i="29"/>
  <c r="AA85" i="29" s="1"/>
  <c r="W86" i="29"/>
  <c r="AA86" i="29" s="1"/>
  <c r="W87" i="29"/>
  <c r="AA87" i="29" s="1"/>
  <c r="Y81" i="29"/>
  <c r="Y82" i="29"/>
  <c r="Y83" i="29"/>
  <c r="Y84" i="29"/>
  <c r="Y85" i="29"/>
  <c r="Y86" i="29"/>
  <c r="Y87" i="29"/>
  <c r="AB81" i="29"/>
  <c r="AB82" i="29"/>
  <c r="AB83" i="29"/>
  <c r="AB84" i="29"/>
  <c r="AB85" i="29"/>
  <c r="AB86" i="29"/>
  <c r="AB87" i="29"/>
  <c r="M74" i="29"/>
  <c r="M75" i="29"/>
  <c r="M76" i="29"/>
  <c r="M77" i="29"/>
  <c r="M78" i="29"/>
  <c r="M79" i="29"/>
  <c r="M80" i="29"/>
  <c r="N74" i="29"/>
  <c r="O74" i="29" s="1"/>
  <c r="N75" i="29"/>
  <c r="O75" i="29" s="1"/>
  <c r="N76" i="29"/>
  <c r="O76" i="29" s="1"/>
  <c r="N77" i="29"/>
  <c r="O77" i="29" s="1"/>
  <c r="N78" i="29"/>
  <c r="O78" i="29" s="1"/>
  <c r="N79" i="29"/>
  <c r="O79" i="29" s="1"/>
  <c r="N80" i="29"/>
  <c r="T80" i="29" s="1"/>
  <c r="Q74" i="29"/>
  <c r="Q75" i="29"/>
  <c r="Q76" i="29"/>
  <c r="Q77" i="29"/>
  <c r="Q78" i="29"/>
  <c r="Q79" i="29"/>
  <c r="Q80" i="29"/>
  <c r="S74" i="29"/>
  <c r="S75" i="29"/>
  <c r="S76" i="29"/>
  <c r="S77" i="29"/>
  <c r="S78" i="29"/>
  <c r="S79" i="29"/>
  <c r="S80" i="29"/>
  <c r="W74" i="29"/>
  <c r="AA74" i="29" s="1"/>
  <c r="W75" i="29"/>
  <c r="AA75" i="29" s="1"/>
  <c r="W76" i="29"/>
  <c r="AA76" i="29" s="1"/>
  <c r="W77" i="29"/>
  <c r="AA77" i="29" s="1"/>
  <c r="W78" i="29"/>
  <c r="AA78" i="29" s="1"/>
  <c r="W79" i="29"/>
  <c r="AA79" i="29" s="1"/>
  <c r="W80" i="29"/>
  <c r="AA80" i="29" s="1"/>
  <c r="Y74" i="29"/>
  <c r="Y75" i="29"/>
  <c r="Y76" i="29"/>
  <c r="Y77" i="29"/>
  <c r="Y78" i="29"/>
  <c r="Y79" i="29"/>
  <c r="Y80" i="29"/>
  <c r="AB74" i="29"/>
  <c r="AB75" i="29"/>
  <c r="AB76" i="29"/>
  <c r="AB77" i="29"/>
  <c r="AB78" i="29"/>
  <c r="AB79" i="29"/>
  <c r="AB80" i="29"/>
  <c r="M69" i="29"/>
  <c r="M70" i="29"/>
  <c r="M71" i="29"/>
  <c r="M72" i="29"/>
  <c r="M73" i="29"/>
  <c r="N69" i="29"/>
  <c r="O69" i="29" s="1"/>
  <c r="N70" i="29"/>
  <c r="T70" i="29" s="1"/>
  <c r="N71" i="29"/>
  <c r="X71" i="29" s="1"/>
  <c r="N72" i="29"/>
  <c r="T72" i="29" s="1"/>
  <c r="N73" i="29"/>
  <c r="O73" i="29" s="1"/>
  <c r="Q69" i="29"/>
  <c r="Q70" i="29"/>
  <c r="Q71" i="29"/>
  <c r="Q72" i="29"/>
  <c r="Q73" i="29"/>
  <c r="S69" i="29"/>
  <c r="S70" i="29"/>
  <c r="S71" i="29"/>
  <c r="S72" i="29"/>
  <c r="S73" i="29"/>
  <c r="W69" i="29"/>
  <c r="AA69" i="29" s="1"/>
  <c r="W70" i="29"/>
  <c r="AA70" i="29" s="1"/>
  <c r="W71" i="29"/>
  <c r="AA71" i="29" s="1"/>
  <c r="W72" i="29"/>
  <c r="AA72" i="29" s="1"/>
  <c r="W73" i="29"/>
  <c r="AA73" i="29" s="1"/>
  <c r="Y69" i="29"/>
  <c r="Y70" i="29"/>
  <c r="Y71" i="29"/>
  <c r="Y72" i="29"/>
  <c r="Y73" i="29"/>
  <c r="AB69" i="29"/>
  <c r="AB70" i="29"/>
  <c r="AB71" i="29"/>
  <c r="AB72" i="29"/>
  <c r="AB73" i="29"/>
  <c r="M65" i="29"/>
  <c r="M66" i="29"/>
  <c r="M67" i="29"/>
  <c r="M68" i="29"/>
  <c r="N64" i="29"/>
  <c r="T64" i="29" s="1"/>
  <c r="N65" i="29"/>
  <c r="T65" i="29" s="1"/>
  <c r="N66" i="29"/>
  <c r="T66" i="29" s="1"/>
  <c r="N67" i="29"/>
  <c r="X67" i="29" s="1"/>
  <c r="N68" i="29"/>
  <c r="O68" i="29" s="1"/>
  <c r="Q64" i="29"/>
  <c r="Q65" i="29"/>
  <c r="Q66" i="29"/>
  <c r="Q67" i="29"/>
  <c r="Q68" i="29"/>
  <c r="S65" i="29"/>
  <c r="S66" i="29"/>
  <c r="S67" i="29"/>
  <c r="S68" i="29"/>
  <c r="W64" i="29"/>
  <c r="AA64" i="29" s="1"/>
  <c r="W65" i="29"/>
  <c r="AA65" i="29" s="1"/>
  <c r="W66" i="29"/>
  <c r="AA66" i="29" s="1"/>
  <c r="W67" i="29"/>
  <c r="AA67" i="29" s="1"/>
  <c r="W68" i="29"/>
  <c r="AA68" i="29" s="1"/>
  <c r="Y64" i="29"/>
  <c r="Y65" i="29"/>
  <c r="Y66" i="29"/>
  <c r="Y67" i="29"/>
  <c r="Y68" i="29"/>
  <c r="AB64" i="29"/>
  <c r="AB65" i="29"/>
  <c r="AB66" i="29"/>
  <c r="AB67" i="29"/>
  <c r="AB68" i="29"/>
  <c r="X107" i="29" l="1"/>
  <c r="X119" i="29"/>
  <c r="T113" i="29"/>
  <c r="X118" i="29"/>
  <c r="T112" i="29"/>
  <c r="X120" i="29"/>
  <c r="X105" i="29"/>
  <c r="X121" i="29"/>
  <c r="X112" i="29"/>
  <c r="X110" i="29"/>
  <c r="X116" i="29"/>
  <c r="X113" i="29"/>
  <c r="T117" i="29"/>
  <c r="T115" i="29"/>
  <c r="O65" i="29"/>
  <c r="T120" i="29"/>
  <c r="T121" i="29"/>
  <c r="T119" i="29"/>
  <c r="T109" i="29"/>
  <c r="T107" i="29"/>
  <c r="X115" i="29"/>
  <c r="X109" i="29"/>
  <c r="X114" i="29"/>
  <c r="T116" i="29"/>
  <c r="X93" i="29"/>
  <c r="T118" i="29"/>
  <c r="T100" i="29"/>
  <c r="T114" i="29"/>
  <c r="T104" i="29"/>
  <c r="O64" i="29"/>
  <c r="O106" i="29"/>
  <c r="X106" i="29"/>
  <c r="X95" i="29"/>
  <c r="X94" i="29"/>
  <c r="T94" i="29"/>
  <c r="T111" i="29"/>
  <c r="X108" i="29"/>
  <c r="T110" i="29"/>
  <c r="T101" i="29"/>
  <c r="T108" i="29"/>
  <c r="X117" i="29"/>
  <c r="X101" i="29"/>
  <c r="T99" i="29"/>
  <c r="X111" i="29"/>
  <c r="X92" i="29"/>
  <c r="X91" i="29"/>
  <c r="T93" i="29"/>
  <c r="T91" i="29"/>
  <c r="O103" i="29"/>
  <c r="X98" i="29"/>
  <c r="X97" i="29"/>
  <c r="X96" i="29"/>
  <c r="T98" i="29"/>
  <c r="T97" i="29"/>
  <c r="X86" i="29"/>
  <c r="T96" i="29"/>
  <c r="T102" i="29"/>
  <c r="O95" i="29"/>
  <c r="X103" i="29"/>
  <c r="T86" i="29"/>
  <c r="X104" i="29"/>
  <c r="X102" i="29"/>
  <c r="O105" i="29"/>
  <c r="X78" i="29"/>
  <c r="T92" i="29"/>
  <c r="X87" i="29"/>
  <c r="X73" i="29"/>
  <c r="X72" i="29"/>
  <c r="T87" i="29"/>
  <c r="X100" i="29"/>
  <c r="X99" i="29"/>
  <c r="T90" i="29"/>
  <c r="O89" i="29"/>
  <c r="T73" i="29"/>
  <c r="X90" i="29"/>
  <c r="X89" i="29"/>
  <c r="T88" i="29"/>
  <c r="O88" i="29"/>
  <c r="X84" i="29"/>
  <c r="X82" i="29"/>
  <c r="X77" i="29"/>
  <c r="T82" i="29"/>
  <c r="T85" i="29"/>
  <c r="X76" i="29"/>
  <c r="T81" i="29"/>
  <c r="O81" i="29"/>
  <c r="T69" i="29"/>
  <c r="X85" i="29"/>
  <c r="X83" i="29"/>
  <c r="X75" i="29"/>
  <c r="T84" i="29"/>
  <c r="T83" i="29"/>
  <c r="X69" i="29"/>
  <c r="X74" i="29"/>
  <c r="T75" i="29"/>
  <c r="O80" i="29"/>
  <c r="T74" i="29"/>
  <c r="X80" i="29"/>
  <c r="O71" i="29"/>
  <c r="O70" i="29"/>
  <c r="T71" i="29"/>
  <c r="X79" i="29"/>
  <c r="T78" i="29"/>
  <c r="X70" i="29"/>
  <c r="T77" i="29"/>
  <c r="T79" i="29"/>
  <c r="T76" i="29"/>
  <c r="X64" i="29"/>
  <c r="O72" i="29"/>
  <c r="T68" i="29"/>
  <c r="T67" i="29"/>
  <c r="X68" i="29"/>
  <c r="X66" i="29"/>
  <c r="O67" i="29"/>
  <c r="O66" i="29"/>
  <c r="X65" i="29"/>
  <c r="N59" i="29" l="1"/>
  <c r="T59" i="29" s="1"/>
  <c r="N60" i="29"/>
  <c r="T60" i="29" s="1"/>
  <c r="N61" i="29"/>
  <c r="X61" i="29" s="1"/>
  <c r="N62" i="29"/>
  <c r="O62" i="29" s="1"/>
  <c r="N63" i="29"/>
  <c r="T63" i="29" s="1"/>
  <c r="Q59" i="29"/>
  <c r="AB59" i="29" s="1"/>
  <c r="Q60" i="29"/>
  <c r="Q61" i="29"/>
  <c r="Q62" i="29"/>
  <c r="Q63" i="29"/>
  <c r="W59" i="29"/>
  <c r="W60" i="29"/>
  <c r="W61" i="29"/>
  <c r="W62" i="29"/>
  <c r="W63" i="29"/>
  <c r="N56" i="29"/>
  <c r="X56" i="29" s="1"/>
  <c r="N57" i="29"/>
  <c r="X57" i="29" s="1"/>
  <c r="N58" i="29"/>
  <c r="X58" i="29" s="1"/>
  <c r="Q56" i="29"/>
  <c r="Y56" i="29" s="1"/>
  <c r="Q57" i="29"/>
  <c r="Y57" i="29" s="1"/>
  <c r="Q58" i="29"/>
  <c r="Y58" i="29" s="1"/>
  <c r="W56" i="29"/>
  <c r="AA56" i="29" s="1"/>
  <c r="W57" i="29"/>
  <c r="AA57" i="29" s="1"/>
  <c r="W58" i="29"/>
  <c r="M50" i="29"/>
  <c r="N50" i="29"/>
  <c r="O50" i="29" s="1"/>
  <c r="N51" i="29"/>
  <c r="T51" i="29" s="1"/>
  <c r="N52" i="29"/>
  <c r="X52" i="29" s="1"/>
  <c r="N53" i="29"/>
  <c r="O53" i="29" s="1"/>
  <c r="N54" i="29"/>
  <c r="T54" i="29" s="1"/>
  <c r="N55" i="29"/>
  <c r="O55" i="29" s="1"/>
  <c r="Q50" i="29"/>
  <c r="Q51" i="29"/>
  <c r="Q52" i="29"/>
  <c r="Y52" i="29" s="1"/>
  <c r="Q53" i="29"/>
  <c r="Y53" i="29" s="1"/>
  <c r="Q54" i="29"/>
  <c r="Y54" i="29" s="1"/>
  <c r="Q55" i="29"/>
  <c r="Y55" i="29" s="1"/>
  <c r="S50" i="29"/>
  <c r="W50" i="29"/>
  <c r="AA50" i="29" s="1"/>
  <c r="W51" i="29"/>
  <c r="AA51" i="29" s="1"/>
  <c r="W52" i="29"/>
  <c r="AA52" i="29" s="1"/>
  <c r="W53" i="29"/>
  <c r="AA53" i="29" s="1"/>
  <c r="W54" i="29"/>
  <c r="AA54" i="29" s="1"/>
  <c r="W55" i="29"/>
  <c r="AA55" i="29" s="1"/>
  <c r="Y50" i="29"/>
  <c r="Y51" i="29"/>
  <c r="AB50" i="29"/>
  <c r="AB55" i="29"/>
  <c r="Y62" i="29" l="1"/>
  <c r="Y61" i="29"/>
  <c r="Y59" i="29"/>
  <c r="AA63" i="29"/>
  <c r="AA62" i="29"/>
  <c r="AB62" i="29"/>
  <c r="AA60" i="29"/>
  <c r="AA59" i="29"/>
  <c r="Y63" i="29"/>
  <c r="Y60" i="29"/>
  <c r="AB63" i="29"/>
  <c r="AA61" i="29"/>
  <c r="AB58" i="29"/>
  <c r="AB61" i="29"/>
  <c r="AB60" i="29"/>
  <c r="AA58" i="29"/>
  <c r="T52" i="29"/>
  <c r="AB53" i="29"/>
  <c r="AB56" i="29"/>
  <c r="AB51" i="29"/>
  <c r="AB54" i="29"/>
  <c r="AB57" i="29"/>
  <c r="AB52" i="29"/>
  <c r="O58" i="29"/>
  <c r="X59" i="29"/>
  <c r="O63" i="29"/>
  <c r="O57" i="29"/>
  <c r="X63" i="29"/>
  <c r="X60" i="29"/>
  <c r="T62" i="29"/>
  <c r="O61" i="29"/>
  <c r="T61" i="29"/>
  <c r="O60" i="29"/>
  <c r="O54" i="29"/>
  <c r="X62" i="29"/>
  <c r="O59" i="29"/>
  <c r="T58" i="29"/>
  <c r="T57" i="29"/>
  <c r="O52" i="29"/>
  <c r="T53" i="29"/>
  <c r="O51" i="29"/>
  <c r="X51" i="29"/>
  <c r="T56" i="29"/>
  <c r="X50" i="29"/>
  <c r="T50" i="29"/>
  <c r="O56" i="29"/>
  <c r="X55" i="29"/>
  <c r="X54" i="29"/>
  <c r="X53" i="29"/>
  <c r="T55" i="29"/>
  <c r="M44" i="29"/>
  <c r="M45" i="29"/>
  <c r="M46" i="29"/>
  <c r="M47" i="29"/>
  <c r="M48" i="29"/>
  <c r="M49" i="29"/>
  <c r="N44" i="29"/>
  <c r="O44" i="29" s="1"/>
  <c r="N45" i="29"/>
  <c r="O45" i="29" s="1"/>
  <c r="N46" i="29"/>
  <c r="X46" i="29" s="1"/>
  <c r="N47" i="29"/>
  <c r="X47" i="29" s="1"/>
  <c r="N48" i="29"/>
  <c r="O48" i="29" s="1"/>
  <c r="N49" i="29"/>
  <c r="O49" i="29" s="1"/>
  <c r="Q44" i="29"/>
  <c r="Q45" i="29"/>
  <c r="Q46" i="29"/>
  <c r="Q47" i="29"/>
  <c r="Q48" i="29"/>
  <c r="Q49" i="29"/>
  <c r="S44" i="29"/>
  <c r="S45" i="29"/>
  <c r="S46" i="29"/>
  <c r="S47" i="29"/>
  <c r="S48" i="29"/>
  <c r="S49" i="29"/>
  <c r="W44" i="29"/>
  <c r="AA44" i="29" s="1"/>
  <c r="W45" i="29"/>
  <c r="AA45" i="29" s="1"/>
  <c r="W46" i="29"/>
  <c r="AA46" i="29" s="1"/>
  <c r="W47" i="29"/>
  <c r="AA47" i="29" s="1"/>
  <c r="W48" i="29"/>
  <c r="AA48" i="29" s="1"/>
  <c r="W49" i="29"/>
  <c r="AA49" i="29" s="1"/>
  <c r="Y44" i="29"/>
  <c r="Y45" i="29"/>
  <c r="Y46" i="29"/>
  <c r="Y47" i="29"/>
  <c r="Y48" i="29"/>
  <c r="Y49" i="29"/>
  <c r="AB44" i="29"/>
  <c r="AB45" i="29"/>
  <c r="AB46" i="29"/>
  <c r="AB47" i="29"/>
  <c r="AB48" i="29"/>
  <c r="AB49" i="29"/>
  <c r="T44" i="29" l="1"/>
  <c r="X44" i="29"/>
  <c r="O47" i="29"/>
  <c r="O46" i="29"/>
  <c r="T47" i="29"/>
  <c r="T46" i="29"/>
  <c r="X45" i="29"/>
  <c r="T45" i="29"/>
  <c r="T49" i="29"/>
  <c r="T48" i="29"/>
  <c r="X49" i="29"/>
  <c r="X48" i="29"/>
  <c r="M35" i="29" l="1"/>
  <c r="M36" i="29"/>
  <c r="M37" i="29"/>
  <c r="M38" i="29"/>
  <c r="M39" i="29"/>
  <c r="M40" i="29"/>
  <c r="M41" i="29"/>
  <c r="M42" i="29"/>
  <c r="M43" i="29"/>
  <c r="N35" i="29"/>
  <c r="O35" i="29" s="1"/>
  <c r="N36" i="29"/>
  <c r="O36" i="29" s="1"/>
  <c r="N37" i="29"/>
  <c r="O37" i="29" s="1"/>
  <c r="N38" i="29"/>
  <c r="O38" i="29" s="1"/>
  <c r="N39" i="29"/>
  <c r="O39" i="29" s="1"/>
  <c r="N40" i="29"/>
  <c r="O40" i="29" s="1"/>
  <c r="N41" i="29"/>
  <c r="O41" i="29" s="1"/>
  <c r="N42" i="29"/>
  <c r="O42" i="29" s="1"/>
  <c r="N43" i="29"/>
  <c r="O43" i="29" s="1"/>
  <c r="Q35" i="29"/>
  <c r="Q36" i="29"/>
  <c r="Q37" i="29"/>
  <c r="Q38" i="29"/>
  <c r="Q39" i="29"/>
  <c r="Q40" i="29"/>
  <c r="Q41" i="29"/>
  <c r="Q42" i="29"/>
  <c r="Q43" i="29"/>
  <c r="S35" i="29"/>
  <c r="S36" i="29"/>
  <c r="S37" i="29"/>
  <c r="S38" i="29"/>
  <c r="S39" i="29"/>
  <c r="S40" i="29"/>
  <c r="S41" i="29"/>
  <c r="S42" i="29"/>
  <c r="S43" i="29"/>
  <c r="W35" i="29"/>
  <c r="AA35" i="29" s="1"/>
  <c r="W36" i="29"/>
  <c r="AA36" i="29" s="1"/>
  <c r="W37" i="29"/>
  <c r="AA37" i="29" s="1"/>
  <c r="W38" i="29"/>
  <c r="AA38" i="29" s="1"/>
  <c r="W39" i="29"/>
  <c r="AA39" i="29" s="1"/>
  <c r="W40" i="29"/>
  <c r="AA40" i="29" s="1"/>
  <c r="W41" i="29"/>
  <c r="AA41" i="29" s="1"/>
  <c r="W42" i="29"/>
  <c r="AA42" i="29" s="1"/>
  <c r="W43" i="29"/>
  <c r="AA43" i="29" s="1"/>
  <c r="Y35" i="29"/>
  <c r="Y36" i="29"/>
  <c r="Y37" i="29"/>
  <c r="Y38" i="29"/>
  <c r="Y39" i="29"/>
  <c r="Y40" i="29"/>
  <c r="Y41" i="29"/>
  <c r="Y42" i="29"/>
  <c r="Y43" i="29"/>
  <c r="AB35" i="29"/>
  <c r="AB36" i="29"/>
  <c r="AB37" i="29"/>
  <c r="AB38" i="29"/>
  <c r="AB39" i="29"/>
  <c r="AB40" i="29"/>
  <c r="AB41" i="29"/>
  <c r="AB42" i="29"/>
  <c r="AB43" i="29"/>
  <c r="P14" i="5"/>
  <c r="Q14" i="5"/>
  <c r="F6" i="5"/>
  <c r="J6" i="5"/>
  <c r="K6" i="5"/>
  <c r="L6" i="5"/>
  <c r="M6" i="5"/>
  <c r="N6" i="5"/>
  <c r="O6" i="5"/>
  <c r="P6" i="5"/>
  <c r="Q6" i="5"/>
  <c r="G6" i="5"/>
  <c r="H6" i="5"/>
  <c r="I6" i="5"/>
  <c r="X42" i="29" l="1"/>
  <c r="X43" i="29"/>
  <c r="T43" i="29"/>
  <c r="T42" i="29"/>
  <c r="T38" i="29"/>
  <c r="X41" i="29"/>
  <c r="T35" i="29"/>
  <c r="X38" i="29"/>
  <c r="X36" i="29"/>
  <c r="X35" i="29"/>
  <c r="T41" i="29"/>
  <c r="T40" i="29"/>
  <c r="T39" i="29"/>
  <c r="T37" i="29"/>
  <c r="T36" i="29"/>
  <c r="X40" i="29"/>
  <c r="X37" i="29"/>
  <c r="X39" i="29"/>
  <c r="M24" i="29"/>
  <c r="M25" i="29"/>
  <c r="M26" i="29"/>
  <c r="M27" i="29"/>
  <c r="M28" i="29"/>
  <c r="M29" i="29"/>
  <c r="M30" i="29"/>
  <c r="M33" i="29"/>
  <c r="M34" i="29"/>
  <c r="N24" i="29"/>
  <c r="O24" i="29" s="1"/>
  <c r="N25" i="29"/>
  <c r="O25" i="29" s="1"/>
  <c r="N26" i="29"/>
  <c r="O26" i="29" s="1"/>
  <c r="N27" i="29"/>
  <c r="O27" i="29" s="1"/>
  <c r="N28" i="29"/>
  <c r="O28" i="29" s="1"/>
  <c r="N29" i="29"/>
  <c r="O29" i="29" s="1"/>
  <c r="N30" i="29"/>
  <c r="O30" i="29" s="1"/>
  <c r="N31" i="29"/>
  <c r="O31" i="29" s="1"/>
  <c r="N32" i="29"/>
  <c r="O32" i="29" s="1"/>
  <c r="N33" i="29"/>
  <c r="X33" i="29" s="1"/>
  <c r="N34" i="29"/>
  <c r="O34" i="29" s="1"/>
  <c r="Q24" i="29"/>
  <c r="Q25" i="29"/>
  <c r="Q26" i="29"/>
  <c r="Q27" i="29"/>
  <c r="Q28" i="29"/>
  <c r="Q29" i="29"/>
  <c r="Q30" i="29"/>
  <c r="Q31" i="29"/>
  <c r="Q32" i="29"/>
  <c r="AB32" i="29" s="1"/>
  <c r="Q33" i="29"/>
  <c r="Q34" i="29"/>
  <c r="S24" i="29"/>
  <c r="S25" i="29"/>
  <c r="S26" i="29"/>
  <c r="S27" i="29"/>
  <c r="S28" i="29"/>
  <c r="S29" i="29"/>
  <c r="S30" i="29"/>
  <c r="S33" i="29"/>
  <c r="S34" i="29"/>
  <c r="W24" i="29"/>
  <c r="AA24" i="29" s="1"/>
  <c r="W25" i="29"/>
  <c r="AA25" i="29" s="1"/>
  <c r="W26" i="29"/>
  <c r="AA26" i="29" s="1"/>
  <c r="W27" i="29"/>
  <c r="AA27" i="29" s="1"/>
  <c r="W28" i="29"/>
  <c r="AA28" i="29" s="1"/>
  <c r="W29" i="29"/>
  <c r="AA29" i="29" s="1"/>
  <c r="W30" i="29"/>
  <c r="AA30" i="29" s="1"/>
  <c r="W31" i="29"/>
  <c r="W32" i="29"/>
  <c r="W33" i="29"/>
  <c r="AA33" i="29" s="1"/>
  <c r="W34" i="29"/>
  <c r="AA34" i="29" s="1"/>
  <c r="Y24" i="29"/>
  <c r="Y25" i="29"/>
  <c r="Y26" i="29"/>
  <c r="Y27" i="29"/>
  <c r="Y28" i="29"/>
  <c r="Y29" i="29"/>
  <c r="Y30" i="29"/>
  <c r="Y31" i="29"/>
  <c r="Y32" i="29"/>
  <c r="Y33" i="29"/>
  <c r="Y34" i="29"/>
  <c r="AB24" i="29"/>
  <c r="AB25" i="29"/>
  <c r="AB26" i="29"/>
  <c r="AB27" i="29"/>
  <c r="AB28" i="29"/>
  <c r="AB29" i="29"/>
  <c r="AB30" i="29"/>
  <c r="AB33" i="29"/>
  <c r="AB34" i="29"/>
  <c r="M20" i="29"/>
  <c r="M21" i="29"/>
  <c r="M22" i="29"/>
  <c r="M23" i="29"/>
  <c r="N20" i="29"/>
  <c r="X20" i="29" s="1"/>
  <c r="N21" i="29"/>
  <c r="T21" i="29" s="1"/>
  <c r="N22" i="29"/>
  <c r="T22" i="29" s="1"/>
  <c r="N23" i="29"/>
  <c r="X23" i="29" s="1"/>
  <c r="Q20" i="29"/>
  <c r="Q21" i="29"/>
  <c r="Q22" i="29"/>
  <c r="Q23" i="29"/>
  <c r="S20" i="29"/>
  <c r="S21" i="29"/>
  <c r="S22" i="29"/>
  <c r="S23" i="29"/>
  <c r="W20" i="29"/>
  <c r="AA20" i="29" s="1"/>
  <c r="W21" i="29"/>
  <c r="AA21" i="29" s="1"/>
  <c r="W22" i="29"/>
  <c r="AA22" i="29" s="1"/>
  <c r="W23" i="29"/>
  <c r="AA23" i="29" s="1"/>
  <c r="Y20" i="29"/>
  <c r="Y21" i="29"/>
  <c r="Y22" i="29"/>
  <c r="Y23" i="29"/>
  <c r="AB20" i="29"/>
  <c r="AB21" i="29"/>
  <c r="AB22" i="29"/>
  <c r="AB23" i="29"/>
  <c r="M15" i="29"/>
  <c r="M16" i="29"/>
  <c r="M17" i="29"/>
  <c r="M18" i="29"/>
  <c r="M19" i="29"/>
  <c r="N15" i="29"/>
  <c r="T15" i="29" s="1"/>
  <c r="N16" i="29"/>
  <c r="T16" i="29" s="1"/>
  <c r="N17" i="29"/>
  <c r="T17" i="29" s="1"/>
  <c r="N18" i="29"/>
  <c r="O18" i="29" s="1"/>
  <c r="N19" i="29"/>
  <c r="T19" i="29" s="1"/>
  <c r="Q15" i="29"/>
  <c r="Q16" i="29"/>
  <c r="Q17" i="29"/>
  <c r="Q18" i="29"/>
  <c r="Q19" i="29"/>
  <c r="S15" i="29"/>
  <c r="S16" i="29"/>
  <c r="S17" i="29"/>
  <c r="S18" i="29"/>
  <c r="S19" i="29"/>
  <c r="W15" i="29"/>
  <c r="AA15" i="29" s="1"/>
  <c r="W16" i="29"/>
  <c r="AA16" i="29" s="1"/>
  <c r="W17" i="29"/>
  <c r="AA17" i="29" s="1"/>
  <c r="W18" i="29"/>
  <c r="AA18" i="29" s="1"/>
  <c r="W19" i="29"/>
  <c r="AA19" i="29" s="1"/>
  <c r="Y15" i="29"/>
  <c r="Y16" i="29"/>
  <c r="Y17" i="29"/>
  <c r="Y18" i="29"/>
  <c r="Y19" i="29"/>
  <c r="AB15" i="29"/>
  <c r="AB16" i="29"/>
  <c r="AB17" i="29"/>
  <c r="AB18" i="29"/>
  <c r="AB19" i="29"/>
  <c r="M7" i="29"/>
  <c r="M8" i="29"/>
  <c r="M9" i="29"/>
  <c r="M10" i="29"/>
  <c r="M11" i="29"/>
  <c r="M12" i="29"/>
  <c r="M13" i="29"/>
  <c r="M14" i="29"/>
  <c r="N7" i="29"/>
  <c r="O7" i="29" s="1"/>
  <c r="N8" i="29"/>
  <c r="O8" i="29" s="1"/>
  <c r="N9" i="29"/>
  <c r="O9" i="29" s="1"/>
  <c r="N10" i="29"/>
  <c r="O10" i="29" s="1"/>
  <c r="N11" i="29"/>
  <c r="X11" i="29" s="1"/>
  <c r="N12" i="29"/>
  <c r="O12" i="29" s="1"/>
  <c r="N13" i="29"/>
  <c r="O13" i="29" s="1"/>
  <c r="N14" i="29"/>
  <c r="X14" i="29" s="1"/>
  <c r="Q7" i="29"/>
  <c r="Q8" i="29"/>
  <c r="Q9" i="29"/>
  <c r="Q10" i="29"/>
  <c r="Q11" i="29"/>
  <c r="Q12" i="29"/>
  <c r="Q13" i="29"/>
  <c r="Q14" i="29"/>
  <c r="S7" i="29"/>
  <c r="S8" i="29"/>
  <c r="S9" i="29"/>
  <c r="S10" i="29"/>
  <c r="S11" i="29"/>
  <c r="S12" i="29"/>
  <c r="S13" i="29"/>
  <c r="S14" i="29"/>
  <c r="W7" i="29"/>
  <c r="AA7" i="29" s="1"/>
  <c r="W8" i="29"/>
  <c r="AA8" i="29" s="1"/>
  <c r="W9" i="29"/>
  <c r="AA9" i="29" s="1"/>
  <c r="W10" i="29"/>
  <c r="AA10" i="29" s="1"/>
  <c r="W11" i="29"/>
  <c r="AA11" i="29" s="1"/>
  <c r="W12" i="29"/>
  <c r="AA12" i="29" s="1"/>
  <c r="W13" i="29"/>
  <c r="AA13" i="29" s="1"/>
  <c r="W14" i="29"/>
  <c r="AA14" i="29" s="1"/>
  <c r="Y7" i="29"/>
  <c r="Y8" i="29"/>
  <c r="Y9" i="29"/>
  <c r="Y10" i="29"/>
  <c r="Y11" i="29"/>
  <c r="Y12" i="29"/>
  <c r="Y13" i="29"/>
  <c r="Y14" i="29"/>
  <c r="AB7" i="29"/>
  <c r="AB8" i="29"/>
  <c r="AB9" i="29"/>
  <c r="AB10" i="29"/>
  <c r="AB11" i="29"/>
  <c r="AB12" i="29"/>
  <c r="AB13" i="29"/>
  <c r="AB14" i="29"/>
  <c r="T25" i="29" l="1"/>
  <c r="AB31" i="29"/>
  <c r="AA32" i="29"/>
  <c r="AA31" i="29"/>
  <c r="T26" i="29"/>
  <c r="T27" i="29"/>
  <c r="T28" i="29"/>
  <c r="O17" i="29"/>
  <c r="T24" i="29"/>
  <c r="O16" i="29"/>
  <c r="O15" i="29"/>
  <c r="T12" i="29"/>
  <c r="T33" i="29"/>
  <c r="X27" i="29"/>
  <c r="X25" i="29"/>
  <c r="X24" i="29"/>
  <c r="O33" i="29"/>
  <c r="X34" i="29"/>
  <c r="T18" i="29"/>
  <c r="T34" i="29"/>
  <c r="X32" i="29"/>
  <c r="X31" i="29"/>
  <c r="T32" i="29"/>
  <c r="O23" i="29"/>
  <c r="X30" i="29"/>
  <c r="T31" i="29"/>
  <c r="X12" i="29"/>
  <c r="O22" i="29"/>
  <c r="X29" i="29"/>
  <c r="T30" i="29"/>
  <c r="X8" i="29"/>
  <c r="O21" i="29"/>
  <c r="X28" i="29"/>
  <c r="T29" i="29"/>
  <c r="T13" i="29"/>
  <c r="X26" i="29"/>
  <c r="T14" i="29"/>
  <c r="T23" i="29"/>
  <c r="X22" i="29"/>
  <c r="X21" i="29"/>
  <c r="X18" i="29"/>
  <c r="O19" i="29"/>
  <c r="X19" i="29"/>
  <c r="X17" i="29"/>
  <c r="X16" i="29"/>
  <c r="X15" i="29"/>
  <c r="O20" i="29"/>
  <c r="T20" i="29"/>
  <c r="X9" i="29"/>
  <c r="T10" i="29"/>
  <c r="T9" i="29"/>
  <c r="O14" i="29"/>
  <c r="T11" i="29"/>
  <c r="O11" i="29"/>
  <c r="X13" i="29"/>
  <c r="X10" i="29"/>
  <c r="T8" i="29"/>
  <c r="X7" i="29"/>
  <c r="T7" i="29"/>
  <c r="M3" i="29" l="1"/>
  <c r="M4" i="29"/>
  <c r="M5" i="29"/>
  <c r="M6" i="29"/>
  <c r="N3" i="29"/>
  <c r="X3" i="29" s="1"/>
  <c r="N4" i="29"/>
  <c r="O4" i="29" s="1"/>
  <c r="N5" i="29"/>
  <c r="O5" i="29" s="1"/>
  <c r="N6" i="29"/>
  <c r="O6" i="29" s="1"/>
  <c r="Q3" i="29"/>
  <c r="Q4" i="29"/>
  <c r="Q5" i="29"/>
  <c r="Q6" i="29"/>
  <c r="S3" i="29"/>
  <c r="S4" i="29"/>
  <c r="S5" i="29"/>
  <c r="S6" i="29"/>
  <c r="W3" i="29"/>
  <c r="AA3" i="29" s="1"/>
  <c r="W4" i="29"/>
  <c r="AA4" i="29" s="1"/>
  <c r="W5" i="29"/>
  <c r="AA5" i="29" s="1"/>
  <c r="W6" i="29"/>
  <c r="AA6" i="29" s="1"/>
  <c r="Y3" i="29"/>
  <c r="Y4" i="29"/>
  <c r="Y5" i="29"/>
  <c r="Y6" i="29"/>
  <c r="AB3" i="29"/>
  <c r="AB4" i="29"/>
  <c r="AB5" i="29"/>
  <c r="AB6" i="29"/>
  <c r="AV5" i="31"/>
  <c r="AT26" i="31"/>
  <c r="AS26" i="31"/>
  <c r="AS24" i="31"/>
  <c r="AU16" i="31"/>
  <c r="AU18" i="31"/>
  <c r="AT18" i="31" s="1"/>
  <c r="AU33" i="31"/>
  <c r="N36" i="18"/>
  <c r="L36" i="18"/>
  <c r="K36" i="18"/>
  <c r="J36" i="18"/>
  <c r="F36" i="18"/>
  <c r="N35" i="18"/>
  <c r="L35" i="18"/>
  <c r="K35" i="18"/>
  <c r="J35" i="18"/>
  <c r="F35" i="18"/>
  <c r="N34" i="18"/>
  <c r="L34" i="18"/>
  <c r="K34" i="18"/>
  <c r="J34" i="18"/>
  <c r="F34" i="18"/>
  <c r="N33" i="18"/>
  <c r="L33" i="18"/>
  <c r="K33" i="18"/>
  <c r="J33" i="18"/>
  <c r="F33" i="18"/>
  <c r="N32" i="18"/>
  <c r="L32" i="18"/>
  <c r="K32" i="18"/>
  <c r="J32" i="18"/>
  <c r="F32" i="18"/>
  <c r="N31" i="18"/>
  <c r="L31" i="18"/>
  <c r="K31" i="18"/>
  <c r="J31" i="18"/>
  <c r="F31" i="18"/>
  <c r="N30" i="18"/>
  <c r="L30" i="18"/>
  <c r="K30" i="18"/>
  <c r="J30" i="18"/>
  <c r="F30" i="18"/>
  <c r="N29" i="18"/>
  <c r="L29" i="18"/>
  <c r="K29" i="18"/>
  <c r="J29" i="18"/>
  <c r="F29" i="18"/>
  <c r="N28" i="18"/>
  <c r="L28" i="18"/>
  <c r="K28" i="18"/>
  <c r="J28" i="18"/>
  <c r="F28" i="18"/>
  <c r="N27" i="18"/>
  <c r="L27" i="18"/>
  <c r="K27" i="18"/>
  <c r="J27" i="18"/>
  <c r="F27" i="18"/>
  <c r="N26" i="18"/>
  <c r="L26" i="18"/>
  <c r="K26" i="18"/>
  <c r="J26" i="18"/>
  <c r="F26" i="18"/>
  <c r="N25" i="18"/>
  <c r="L25" i="18"/>
  <c r="K25" i="18"/>
  <c r="J25" i="18"/>
  <c r="F25" i="18"/>
  <c r="N24" i="18"/>
  <c r="L24" i="18"/>
  <c r="K24" i="18"/>
  <c r="J24" i="18"/>
  <c r="F24" i="18"/>
  <c r="N23" i="18"/>
  <c r="L23" i="18"/>
  <c r="K23" i="18"/>
  <c r="J23" i="18"/>
  <c r="F23" i="18"/>
  <c r="N22" i="18"/>
  <c r="L22" i="18"/>
  <c r="K22" i="18"/>
  <c r="J22" i="18"/>
  <c r="F22" i="18"/>
  <c r="N21" i="18"/>
  <c r="L21" i="18"/>
  <c r="K21" i="18"/>
  <c r="J21" i="18"/>
  <c r="F21" i="18"/>
  <c r="N20" i="18"/>
  <c r="L20" i="18"/>
  <c r="K20" i="18"/>
  <c r="J20" i="18"/>
  <c r="F20" i="18"/>
  <c r="N19" i="18"/>
  <c r="L19" i="18"/>
  <c r="K19" i="18"/>
  <c r="J19" i="18"/>
  <c r="F19" i="18"/>
  <c r="N18" i="18"/>
  <c r="L18" i="18"/>
  <c r="K18" i="18"/>
  <c r="J18" i="18"/>
  <c r="F18" i="18"/>
  <c r="N17" i="18"/>
  <c r="L17" i="18"/>
  <c r="K17" i="18"/>
  <c r="J17" i="18"/>
  <c r="F17" i="18"/>
  <c r="N16" i="18"/>
  <c r="L16" i="18"/>
  <c r="K16" i="18"/>
  <c r="J16" i="18"/>
  <c r="F16" i="18"/>
  <c r="N15" i="18"/>
  <c r="L15" i="18"/>
  <c r="K15" i="18"/>
  <c r="J15" i="18"/>
  <c r="F15" i="18"/>
  <c r="N14" i="18"/>
  <c r="L14" i="18"/>
  <c r="K14" i="18"/>
  <c r="J14" i="18"/>
  <c r="F14" i="18"/>
  <c r="N13" i="18"/>
  <c r="L13" i="18"/>
  <c r="K13" i="18"/>
  <c r="J13" i="18"/>
  <c r="F13" i="18"/>
  <c r="N12" i="18"/>
  <c r="L12" i="18"/>
  <c r="K12" i="18"/>
  <c r="J12" i="18"/>
  <c r="F12" i="18"/>
  <c r="N11" i="18"/>
  <c r="L11" i="18"/>
  <c r="K11" i="18"/>
  <c r="J11" i="18"/>
  <c r="F11" i="18"/>
  <c r="N10" i="18"/>
  <c r="L10" i="18"/>
  <c r="K10" i="18"/>
  <c r="J10" i="18"/>
  <c r="F10" i="18"/>
  <c r="N9" i="18"/>
  <c r="L9" i="18"/>
  <c r="K9" i="18"/>
  <c r="J9" i="18"/>
  <c r="F9" i="18"/>
  <c r="N8" i="18"/>
  <c r="L8" i="18"/>
  <c r="K8" i="18"/>
  <c r="J8" i="18"/>
  <c r="F8" i="18"/>
  <c r="N7" i="18"/>
  <c r="L7" i="18"/>
  <c r="K7" i="18"/>
  <c r="J7" i="18"/>
  <c r="F7" i="18"/>
  <c r="N6" i="18"/>
  <c r="L6" i="18"/>
  <c r="K6" i="18"/>
  <c r="J6" i="18"/>
  <c r="F6" i="18"/>
  <c r="DY14" i="14"/>
  <c r="CS14" i="14"/>
  <c r="DY13" i="14"/>
  <c r="CS13" i="14"/>
  <c r="BM13" i="14"/>
  <c r="AH13" i="14"/>
  <c r="AD13" i="14"/>
  <c r="AC13" i="14"/>
  <c r="DY12" i="14"/>
  <c r="CS12" i="14"/>
  <c r="BM12" i="14"/>
  <c r="AH12" i="14"/>
  <c r="DY11" i="14"/>
  <c r="CS11" i="14"/>
  <c r="BM11" i="14"/>
  <c r="AH11" i="14"/>
  <c r="DY10" i="14"/>
  <c r="CS10" i="14"/>
  <c r="BM10" i="14"/>
  <c r="AH10" i="14"/>
  <c r="DY9" i="14"/>
  <c r="CS9" i="14"/>
  <c r="BM9" i="14"/>
  <c r="AH9" i="14"/>
  <c r="S9" i="14"/>
  <c r="R9" i="14"/>
  <c r="P9" i="14"/>
  <c r="O9" i="14"/>
  <c r="M9" i="14"/>
  <c r="L9" i="14"/>
  <c r="K9" i="14"/>
  <c r="DY8" i="14"/>
  <c r="CS8" i="14"/>
  <c r="BM8" i="14"/>
  <c r="AH8" i="14"/>
  <c r="DY7" i="14"/>
  <c r="CS7" i="14"/>
  <c r="BM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DY6" i="14"/>
  <c r="CS6" i="14"/>
  <c r="BM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DY5" i="14"/>
  <c r="CS5" i="14"/>
  <c r="BM5" i="14"/>
  <c r="AH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S31" i="30"/>
  <c r="O31" i="30"/>
  <c r="N31" i="30"/>
  <c r="S30" i="30"/>
  <c r="O30" i="30"/>
  <c r="N30" i="30"/>
  <c r="S29" i="30"/>
  <c r="O29" i="30"/>
  <c r="N29" i="30"/>
  <c r="S28" i="30"/>
  <c r="O28" i="30"/>
  <c r="N28" i="30"/>
  <c r="S27" i="30"/>
  <c r="O27" i="30"/>
  <c r="N27" i="30"/>
  <c r="S26" i="30"/>
  <c r="O26" i="30"/>
  <c r="N26" i="30"/>
  <c r="S25" i="30"/>
  <c r="O25" i="30"/>
  <c r="N25" i="30"/>
  <c r="S24" i="30"/>
  <c r="O24" i="30"/>
  <c r="N24" i="30"/>
  <c r="S23" i="30"/>
  <c r="O23" i="30"/>
  <c r="N23" i="30"/>
  <c r="S22" i="30"/>
  <c r="O22" i="30"/>
  <c r="N22" i="30"/>
  <c r="S21" i="30"/>
  <c r="O21" i="30"/>
  <c r="N21" i="30"/>
  <c r="S20" i="30"/>
  <c r="O20" i="30"/>
  <c r="N20" i="30"/>
  <c r="S19" i="30"/>
  <c r="O19" i="30"/>
  <c r="N19" i="30"/>
  <c r="S18" i="30"/>
  <c r="O18" i="30"/>
  <c r="N18" i="30"/>
  <c r="S17" i="30"/>
  <c r="O17" i="30"/>
  <c r="N17" i="30"/>
  <c r="S16" i="30"/>
  <c r="O16" i="30"/>
  <c r="N16" i="30"/>
  <c r="S15" i="30"/>
  <c r="O15" i="30"/>
  <c r="N15" i="30"/>
  <c r="S14" i="30"/>
  <c r="O14" i="30"/>
  <c r="N14" i="30"/>
  <c r="S13" i="30"/>
  <c r="O13" i="30"/>
  <c r="N13" i="30"/>
  <c r="S12" i="30"/>
  <c r="O12" i="30"/>
  <c r="N12" i="30"/>
  <c r="S11" i="30"/>
  <c r="O11" i="30"/>
  <c r="N11" i="30"/>
  <c r="S10" i="30"/>
  <c r="O10" i="30"/>
  <c r="N10" i="30"/>
  <c r="S9" i="30"/>
  <c r="O9" i="30"/>
  <c r="N9" i="30"/>
  <c r="O8" i="30"/>
  <c r="N8" i="30"/>
  <c r="S8" i="30" s="1"/>
  <c r="O7" i="30"/>
  <c r="N7" i="30"/>
  <c r="S7" i="30" s="1"/>
  <c r="O6" i="30"/>
  <c r="N6" i="30"/>
  <c r="S6" i="30" s="1"/>
  <c r="S5" i="30"/>
  <c r="O5" i="30"/>
  <c r="N5" i="30"/>
  <c r="O4" i="30"/>
  <c r="N4" i="30"/>
  <c r="S4" i="30" s="1"/>
  <c r="O3" i="30"/>
  <c r="N3" i="30"/>
  <c r="S3" i="30" s="1"/>
  <c r="O2" i="30"/>
  <c r="N2" i="30"/>
  <c r="BK179" i="29"/>
  <c r="BD179" i="29"/>
  <c r="BK178" i="29"/>
  <c r="BD178" i="29"/>
  <c r="BK177" i="29"/>
  <c r="BD177" i="29"/>
  <c r="BK176" i="29"/>
  <c r="BD176" i="29"/>
  <c r="BK175" i="29"/>
  <c r="BD175" i="29"/>
  <c r="BK174" i="29"/>
  <c r="BD174" i="29"/>
  <c r="BK173" i="29"/>
  <c r="BD173" i="29"/>
  <c r="BK172" i="29"/>
  <c r="BD172" i="29"/>
  <c r="BK171" i="29"/>
  <c r="BD171" i="29"/>
  <c r="BK170" i="29"/>
  <c r="BD170" i="29"/>
  <c r="BK169" i="29"/>
  <c r="BD169" i="29"/>
  <c r="BK168" i="29"/>
  <c r="BD168" i="29"/>
  <c r="BK167" i="29"/>
  <c r="BD167" i="29"/>
  <c r="BK166" i="29"/>
  <c r="BD166" i="29"/>
  <c r="BK165" i="29"/>
  <c r="BD165" i="29"/>
  <c r="BK164" i="29"/>
  <c r="BD164" i="29"/>
  <c r="BK163" i="29"/>
  <c r="BD163" i="29"/>
  <c r="BK162" i="29"/>
  <c r="BD162" i="29"/>
  <c r="BK161" i="29"/>
  <c r="BD161" i="29"/>
  <c r="BK160" i="29"/>
  <c r="BD160" i="29"/>
  <c r="BK159" i="29"/>
  <c r="BD159" i="29"/>
  <c r="BK158" i="29"/>
  <c r="BD158" i="29"/>
  <c r="BK157" i="29"/>
  <c r="BD157" i="29"/>
  <c r="BK156" i="29"/>
  <c r="BD156" i="29"/>
  <c r="BK155" i="29"/>
  <c r="BD155" i="29"/>
  <c r="BK154" i="29"/>
  <c r="BD154" i="29"/>
  <c r="BK153" i="29"/>
  <c r="BD153" i="29"/>
  <c r="BK152" i="29"/>
  <c r="BD152" i="29"/>
  <c r="BK151" i="29"/>
  <c r="BD151" i="29"/>
  <c r="BK150" i="29"/>
  <c r="BD150" i="29"/>
  <c r="BK149" i="29"/>
  <c r="BD149" i="29"/>
  <c r="BK148" i="29"/>
  <c r="BD148" i="29"/>
  <c r="BK147" i="29"/>
  <c r="BD147" i="29"/>
  <c r="BK146" i="29"/>
  <c r="BD146" i="29"/>
  <c r="BK145" i="29"/>
  <c r="BD145" i="29"/>
  <c r="BK144" i="29"/>
  <c r="BD144" i="29"/>
  <c r="BK143" i="29"/>
  <c r="BD143" i="29"/>
  <c r="BK142" i="29"/>
  <c r="BD142" i="29"/>
  <c r="BK141" i="29"/>
  <c r="BD141" i="29"/>
  <c r="BK140" i="29"/>
  <c r="BD140" i="29"/>
  <c r="BK139" i="29"/>
  <c r="BD139" i="29"/>
  <c r="BK138" i="29"/>
  <c r="BD138" i="29"/>
  <c r="BK137" i="29"/>
  <c r="BD137" i="29"/>
  <c r="BK136" i="29"/>
  <c r="BD136" i="29"/>
  <c r="BK135" i="29"/>
  <c r="BD135" i="29"/>
  <c r="BK134" i="29"/>
  <c r="BD134" i="29"/>
  <c r="BK133" i="29"/>
  <c r="BD133" i="29"/>
  <c r="BK132" i="29"/>
  <c r="BD132" i="29"/>
  <c r="BK131" i="29"/>
  <c r="BD131" i="29"/>
  <c r="BK130" i="29"/>
  <c r="BD130" i="29"/>
  <c r="BK129" i="29"/>
  <c r="BD129" i="29"/>
  <c r="BK128" i="29"/>
  <c r="BD128" i="29"/>
  <c r="BK127" i="29"/>
  <c r="BD127" i="29"/>
  <c r="BK126" i="29"/>
  <c r="BD126" i="29"/>
  <c r="BK125" i="29"/>
  <c r="BD125" i="29"/>
  <c r="BK124" i="29"/>
  <c r="BD124" i="29"/>
  <c r="BK123" i="29"/>
  <c r="BD123" i="29"/>
  <c r="BK122" i="29"/>
  <c r="BD122" i="29"/>
  <c r="BK121" i="29"/>
  <c r="BD121" i="29"/>
  <c r="BK120" i="29"/>
  <c r="BD120" i="29"/>
  <c r="BK119" i="29"/>
  <c r="BD119" i="29"/>
  <c r="BK118" i="29"/>
  <c r="BD118" i="29"/>
  <c r="BK117" i="29"/>
  <c r="BD117" i="29"/>
  <c r="BK116" i="29"/>
  <c r="BD116" i="29"/>
  <c r="BK115" i="29"/>
  <c r="BD115" i="29"/>
  <c r="BK114" i="29"/>
  <c r="BD114" i="29"/>
  <c r="BK113" i="29"/>
  <c r="BD113" i="29"/>
  <c r="BK112" i="29"/>
  <c r="BD112" i="29"/>
  <c r="BK111" i="29"/>
  <c r="BD111" i="29"/>
  <c r="BK110" i="29"/>
  <c r="BD110" i="29"/>
  <c r="BK109" i="29"/>
  <c r="BD109" i="29"/>
  <c r="BK108" i="29"/>
  <c r="BD108" i="29"/>
  <c r="BK107" i="29"/>
  <c r="BD107" i="29"/>
  <c r="BK106" i="29"/>
  <c r="BD106" i="29"/>
  <c r="BK105" i="29"/>
  <c r="BD105" i="29"/>
  <c r="BK104" i="29"/>
  <c r="BD104" i="29"/>
  <c r="BK103" i="29"/>
  <c r="BD103" i="29"/>
  <c r="BK102" i="29"/>
  <c r="BD102" i="29"/>
  <c r="BK101" i="29"/>
  <c r="BD101" i="29"/>
  <c r="BK100" i="29"/>
  <c r="BD100" i="29"/>
  <c r="BK99" i="29"/>
  <c r="BD99" i="29"/>
  <c r="BK98" i="29"/>
  <c r="BD98" i="29"/>
  <c r="BK97" i="29"/>
  <c r="BD97" i="29"/>
  <c r="BK96" i="29"/>
  <c r="BD96" i="29"/>
  <c r="BK95" i="29"/>
  <c r="BD95" i="29"/>
  <c r="BK94" i="29"/>
  <c r="BD94" i="29"/>
  <c r="BK93" i="29"/>
  <c r="BD93" i="29"/>
  <c r="BK92" i="29"/>
  <c r="BD92" i="29"/>
  <c r="BK91" i="29"/>
  <c r="BD91" i="29"/>
  <c r="BK90" i="29"/>
  <c r="BD90" i="29"/>
  <c r="BK89" i="29"/>
  <c r="BD89" i="29"/>
  <c r="BK88" i="29"/>
  <c r="BD88" i="29"/>
  <c r="BK87" i="29"/>
  <c r="BD87" i="29"/>
  <c r="BK86" i="29"/>
  <c r="BD86" i="29"/>
  <c r="BK85" i="29"/>
  <c r="BD85" i="29"/>
  <c r="BK84" i="29"/>
  <c r="BD84" i="29"/>
  <c r="BK83" i="29"/>
  <c r="BD83" i="29"/>
  <c r="BK82" i="29"/>
  <c r="BD82" i="29"/>
  <c r="BK81" i="29"/>
  <c r="BD81" i="29"/>
  <c r="BK80" i="29"/>
  <c r="BK79" i="29"/>
  <c r="BD79" i="29"/>
  <c r="BK78" i="29"/>
  <c r="BD78" i="29"/>
  <c r="BK77" i="29"/>
  <c r="BD77" i="29"/>
  <c r="BK76" i="29"/>
  <c r="BD76" i="29"/>
  <c r="BK75" i="29"/>
  <c r="BD75" i="29"/>
  <c r="BK74" i="29"/>
  <c r="BD74" i="29"/>
  <c r="BK73" i="29"/>
  <c r="BD73" i="29"/>
  <c r="BK72" i="29"/>
  <c r="BD72" i="29"/>
  <c r="BK71" i="29"/>
  <c r="BD71" i="29"/>
  <c r="BK70" i="29"/>
  <c r="BD70" i="29"/>
  <c r="BK69" i="29"/>
  <c r="BD69" i="29"/>
  <c r="BK68" i="29"/>
  <c r="BD68" i="29"/>
  <c r="BK67" i="29"/>
  <c r="BD67" i="29"/>
  <c r="BK66" i="29"/>
  <c r="BD66" i="29"/>
  <c r="BK65" i="29"/>
  <c r="BD65" i="29"/>
  <c r="BK64" i="29"/>
  <c r="BD64" i="29"/>
  <c r="BK63" i="29"/>
  <c r="BD63" i="29"/>
  <c r="BK62" i="29"/>
  <c r="BD62" i="29"/>
  <c r="BK61" i="29"/>
  <c r="BD61" i="29"/>
  <c r="BK60" i="29"/>
  <c r="BD60" i="29"/>
  <c r="BK59" i="29"/>
  <c r="BD59" i="29"/>
  <c r="BK58" i="29"/>
  <c r="BD58" i="29"/>
  <c r="BK57" i="29"/>
  <c r="BD57" i="29"/>
  <c r="BK56" i="29"/>
  <c r="BD56" i="29"/>
  <c r="BK55" i="29"/>
  <c r="BD55" i="29"/>
  <c r="BK54" i="29"/>
  <c r="BD54" i="29"/>
  <c r="BK53" i="29"/>
  <c r="BD53" i="29"/>
  <c r="BK52" i="29"/>
  <c r="BD52" i="29"/>
  <c r="BK51" i="29"/>
  <c r="BD51" i="29"/>
  <c r="BK50" i="29"/>
  <c r="BD50" i="29"/>
  <c r="BK49" i="29"/>
  <c r="BD49" i="29"/>
  <c r="BK48" i="29"/>
  <c r="BD48" i="29"/>
  <c r="BK47" i="29"/>
  <c r="BD47" i="29"/>
  <c r="BK46" i="29"/>
  <c r="BD46" i="29"/>
  <c r="BK45" i="29"/>
  <c r="BD45" i="29"/>
  <c r="BK44" i="29"/>
  <c r="BD44" i="29"/>
  <c r="BK43" i="29"/>
  <c r="BD43" i="29"/>
  <c r="BK42" i="29"/>
  <c r="BD42" i="29"/>
  <c r="BK41" i="29"/>
  <c r="BD41" i="29"/>
  <c r="BK40" i="29"/>
  <c r="BD40" i="29"/>
  <c r="BK39" i="29"/>
  <c r="BD39" i="29"/>
  <c r="BK38" i="29"/>
  <c r="BD38" i="29"/>
  <c r="BK37" i="29"/>
  <c r="BD37" i="29"/>
  <c r="BK36" i="29"/>
  <c r="BD36" i="29"/>
  <c r="BK35" i="29"/>
  <c r="BD35" i="29"/>
  <c r="BK34" i="29"/>
  <c r="BD34" i="29"/>
  <c r="BK33" i="29"/>
  <c r="BD33" i="29"/>
  <c r="BK32" i="29"/>
  <c r="BD32" i="29"/>
  <c r="BK31" i="29"/>
  <c r="BD31" i="29"/>
  <c r="BK30" i="29"/>
  <c r="BD30" i="29"/>
  <c r="BK29" i="29"/>
  <c r="BD29" i="29"/>
  <c r="BK28" i="29"/>
  <c r="BD28" i="29"/>
  <c r="BK27" i="29"/>
  <c r="BD27" i="29"/>
  <c r="BK26" i="29"/>
  <c r="BD26" i="29"/>
  <c r="BK25" i="29"/>
  <c r="BD25" i="29"/>
  <c r="BK24" i="29"/>
  <c r="BD24" i="29"/>
  <c r="BK23" i="29"/>
  <c r="BD23" i="29"/>
  <c r="BK22" i="29"/>
  <c r="BD22" i="29"/>
  <c r="BK21" i="29"/>
  <c r="BD21" i="29"/>
  <c r="BK20" i="29"/>
  <c r="BD20" i="29"/>
  <c r="BK19" i="29"/>
  <c r="BD19" i="29"/>
  <c r="BK18" i="29"/>
  <c r="BD18" i="29"/>
  <c r="BK17" i="29"/>
  <c r="BD17" i="29"/>
  <c r="BK16" i="29"/>
  <c r="BD16" i="29"/>
  <c r="BK15" i="29"/>
  <c r="BD15" i="29"/>
  <c r="BK14" i="29"/>
  <c r="BD14" i="29"/>
  <c r="BK13" i="29"/>
  <c r="BD13" i="29"/>
  <c r="BK12" i="29"/>
  <c r="BD12" i="29"/>
  <c r="BK11" i="29"/>
  <c r="BD11" i="29"/>
  <c r="BK10" i="29"/>
  <c r="BD10" i="29"/>
  <c r="BK9" i="29"/>
  <c r="BD9" i="29"/>
  <c r="BK8" i="29"/>
  <c r="BD8" i="29"/>
  <c r="BK7" i="29"/>
  <c r="BD7" i="29"/>
  <c r="BK6" i="29"/>
  <c r="BD6" i="29"/>
  <c r="BK5" i="29"/>
  <c r="BD5" i="29"/>
  <c r="BK4" i="29"/>
  <c r="BD4" i="29"/>
  <c r="BK3" i="29"/>
  <c r="BD3" i="29"/>
  <c r="AP3" i="29"/>
  <c r="AO3" i="29" s="1"/>
  <c r="BK2" i="29"/>
  <c r="BD2" i="29"/>
  <c r="AQ2" i="29"/>
  <c r="AO2" i="29"/>
  <c r="AB2" i="29"/>
  <c r="Y2" i="29"/>
  <c r="W2" i="29"/>
  <c r="S2" i="29"/>
  <c r="Q2" i="29"/>
  <c r="N2" i="29"/>
  <c r="M2" i="29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V67" i="25"/>
  <c r="U67" i="25"/>
  <c r="T67" i="25"/>
  <c r="S67" i="25"/>
  <c r="R67" i="25"/>
  <c r="Q67" i="25"/>
  <c r="P67" i="25"/>
  <c r="O67" i="25"/>
  <c r="K67" i="25"/>
  <c r="J67" i="25"/>
  <c r="I67" i="25"/>
  <c r="H67" i="25"/>
  <c r="G67" i="25"/>
  <c r="F67" i="25"/>
  <c r="V66" i="25"/>
  <c r="U66" i="25"/>
  <c r="T66" i="25"/>
  <c r="S66" i="25"/>
  <c r="R66" i="25"/>
  <c r="Q66" i="25"/>
  <c r="P66" i="25"/>
  <c r="O66" i="25"/>
  <c r="K66" i="25"/>
  <c r="J66" i="25"/>
  <c r="I66" i="25"/>
  <c r="H66" i="25"/>
  <c r="G66" i="25"/>
  <c r="F66" i="25"/>
  <c r="V65" i="25"/>
  <c r="U65" i="25"/>
  <c r="T65" i="25"/>
  <c r="S65" i="25"/>
  <c r="R65" i="25"/>
  <c r="Q65" i="25"/>
  <c r="P65" i="25"/>
  <c r="O65" i="25"/>
  <c r="K65" i="25"/>
  <c r="J65" i="25"/>
  <c r="I65" i="25"/>
  <c r="H65" i="25"/>
  <c r="G65" i="25"/>
  <c r="F65" i="25"/>
  <c r="V64" i="25"/>
  <c r="U64" i="25"/>
  <c r="T64" i="25"/>
  <c r="S64" i="25"/>
  <c r="R64" i="25"/>
  <c r="Q64" i="25"/>
  <c r="P64" i="25"/>
  <c r="O64" i="25"/>
  <c r="K64" i="25"/>
  <c r="J64" i="25"/>
  <c r="I64" i="25"/>
  <c r="H64" i="25"/>
  <c r="G64" i="25"/>
  <c r="F64" i="25"/>
  <c r="V63" i="25"/>
  <c r="U63" i="25"/>
  <c r="T63" i="25"/>
  <c r="S63" i="25"/>
  <c r="R63" i="25"/>
  <c r="Q63" i="25"/>
  <c r="P63" i="25"/>
  <c r="O63" i="25"/>
  <c r="K63" i="25"/>
  <c r="J63" i="25"/>
  <c r="I63" i="25"/>
  <c r="H63" i="25"/>
  <c r="G63" i="25"/>
  <c r="F63" i="25"/>
  <c r="V62" i="25"/>
  <c r="U62" i="25"/>
  <c r="T62" i="25"/>
  <c r="S62" i="25"/>
  <c r="R62" i="25"/>
  <c r="Q62" i="25"/>
  <c r="P62" i="25"/>
  <c r="O62" i="25"/>
  <c r="K62" i="25"/>
  <c r="J62" i="25"/>
  <c r="I62" i="25"/>
  <c r="H62" i="25"/>
  <c r="G62" i="25"/>
  <c r="F62" i="25"/>
  <c r="V61" i="25"/>
  <c r="U61" i="25"/>
  <c r="T61" i="25"/>
  <c r="S61" i="25"/>
  <c r="R61" i="25"/>
  <c r="Q61" i="25"/>
  <c r="P61" i="25"/>
  <c r="O61" i="25"/>
  <c r="K61" i="25"/>
  <c r="J61" i="25"/>
  <c r="I61" i="25"/>
  <c r="H61" i="25"/>
  <c r="G61" i="25"/>
  <c r="F61" i="25"/>
  <c r="V60" i="25"/>
  <c r="U60" i="25"/>
  <c r="T60" i="25"/>
  <c r="S60" i="25"/>
  <c r="R60" i="25"/>
  <c r="Q60" i="25"/>
  <c r="P60" i="25"/>
  <c r="O60" i="25"/>
  <c r="K60" i="25"/>
  <c r="J60" i="25"/>
  <c r="I60" i="25"/>
  <c r="H60" i="25"/>
  <c r="G60" i="25"/>
  <c r="F60" i="25"/>
  <c r="V59" i="25"/>
  <c r="U59" i="25"/>
  <c r="T59" i="25"/>
  <c r="S59" i="25"/>
  <c r="R59" i="25"/>
  <c r="Q59" i="25"/>
  <c r="P59" i="25"/>
  <c r="O59" i="25"/>
  <c r="K59" i="25"/>
  <c r="J59" i="25"/>
  <c r="I59" i="25"/>
  <c r="H59" i="25"/>
  <c r="G59" i="25"/>
  <c r="F59" i="25"/>
  <c r="V58" i="25"/>
  <c r="U58" i="25"/>
  <c r="T58" i="25"/>
  <c r="S58" i="25"/>
  <c r="R58" i="25"/>
  <c r="Q58" i="25"/>
  <c r="P58" i="25"/>
  <c r="O58" i="25"/>
  <c r="K58" i="25"/>
  <c r="J58" i="25"/>
  <c r="I58" i="25"/>
  <c r="H58" i="25"/>
  <c r="G58" i="25"/>
  <c r="F58" i="25"/>
  <c r="V57" i="25"/>
  <c r="U57" i="25"/>
  <c r="T57" i="25"/>
  <c r="S57" i="25"/>
  <c r="R57" i="25"/>
  <c r="Q57" i="25"/>
  <c r="P57" i="25"/>
  <c r="O57" i="25"/>
  <c r="K57" i="25"/>
  <c r="J57" i="25"/>
  <c r="I57" i="25"/>
  <c r="H57" i="25"/>
  <c r="G57" i="25"/>
  <c r="F57" i="25"/>
  <c r="V56" i="25"/>
  <c r="U56" i="25"/>
  <c r="T56" i="25"/>
  <c r="S56" i="25"/>
  <c r="R56" i="25"/>
  <c r="Q56" i="25"/>
  <c r="P56" i="25"/>
  <c r="O56" i="25"/>
  <c r="K56" i="25"/>
  <c r="J56" i="25"/>
  <c r="I56" i="25"/>
  <c r="H56" i="25"/>
  <c r="G56" i="25"/>
  <c r="F56" i="25"/>
  <c r="V55" i="25"/>
  <c r="U55" i="25"/>
  <c r="T55" i="25"/>
  <c r="S55" i="25"/>
  <c r="R55" i="25"/>
  <c r="Q55" i="25"/>
  <c r="P55" i="25"/>
  <c r="O55" i="25"/>
  <c r="K55" i="25"/>
  <c r="J55" i="25"/>
  <c r="I55" i="25"/>
  <c r="H55" i="25"/>
  <c r="G55" i="25"/>
  <c r="F55" i="25"/>
  <c r="V54" i="25"/>
  <c r="U54" i="25"/>
  <c r="T54" i="25"/>
  <c r="S54" i="25"/>
  <c r="R54" i="25"/>
  <c r="Q54" i="25"/>
  <c r="P54" i="25"/>
  <c r="O54" i="25"/>
  <c r="K54" i="25"/>
  <c r="J54" i="25"/>
  <c r="I54" i="25"/>
  <c r="H54" i="25"/>
  <c r="G54" i="25"/>
  <c r="F54" i="25"/>
  <c r="V53" i="25"/>
  <c r="U53" i="25"/>
  <c r="T53" i="25"/>
  <c r="S53" i="25"/>
  <c r="R53" i="25"/>
  <c r="Q53" i="25"/>
  <c r="P53" i="25"/>
  <c r="O53" i="25"/>
  <c r="K53" i="25"/>
  <c r="J53" i="25"/>
  <c r="I53" i="25"/>
  <c r="H53" i="25"/>
  <c r="G53" i="25"/>
  <c r="F53" i="25"/>
  <c r="V52" i="25"/>
  <c r="U52" i="25"/>
  <c r="T52" i="25"/>
  <c r="S52" i="25"/>
  <c r="R52" i="25"/>
  <c r="Q52" i="25"/>
  <c r="P52" i="25"/>
  <c r="O52" i="25"/>
  <c r="K52" i="25"/>
  <c r="J52" i="25"/>
  <c r="I52" i="25"/>
  <c r="H52" i="25"/>
  <c r="G52" i="25"/>
  <c r="F52" i="25"/>
  <c r="V51" i="25"/>
  <c r="U51" i="25"/>
  <c r="T51" i="25"/>
  <c r="S51" i="25"/>
  <c r="R51" i="25"/>
  <c r="Q51" i="25"/>
  <c r="P51" i="25"/>
  <c r="O51" i="25"/>
  <c r="K51" i="25"/>
  <c r="J51" i="25"/>
  <c r="I51" i="25"/>
  <c r="H51" i="25"/>
  <c r="G51" i="25"/>
  <c r="F51" i="25"/>
  <c r="V50" i="25"/>
  <c r="U50" i="25"/>
  <c r="T50" i="25"/>
  <c r="S50" i="25"/>
  <c r="R50" i="25"/>
  <c r="Q50" i="25"/>
  <c r="P50" i="25"/>
  <c r="O50" i="25"/>
  <c r="K50" i="25"/>
  <c r="J50" i="25"/>
  <c r="I50" i="25"/>
  <c r="H50" i="25"/>
  <c r="G50" i="25"/>
  <c r="F50" i="25"/>
  <c r="V49" i="25"/>
  <c r="U49" i="25"/>
  <c r="T49" i="25"/>
  <c r="S49" i="25"/>
  <c r="R49" i="25"/>
  <c r="Q49" i="25"/>
  <c r="P49" i="25"/>
  <c r="O49" i="25"/>
  <c r="K49" i="25"/>
  <c r="J49" i="25"/>
  <c r="I49" i="25"/>
  <c r="H49" i="25"/>
  <c r="G49" i="25"/>
  <c r="F49" i="25"/>
  <c r="V48" i="25"/>
  <c r="U48" i="25"/>
  <c r="T48" i="25"/>
  <c r="S48" i="25"/>
  <c r="R48" i="25"/>
  <c r="Q48" i="25"/>
  <c r="P48" i="25"/>
  <c r="O48" i="25"/>
  <c r="K48" i="25"/>
  <c r="J48" i="25"/>
  <c r="I48" i="25"/>
  <c r="H48" i="25"/>
  <c r="G48" i="25"/>
  <c r="F48" i="25"/>
  <c r="V47" i="25"/>
  <c r="U47" i="25"/>
  <c r="T47" i="25"/>
  <c r="S47" i="25"/>
  <c r="R47" i="25"/>
  <c r="Q47" i="25"/>
  <c r="P47" i="25"/>
  <c r="O47" i="25"/>
  <c r="K47" i="25"/>
  <c r="J47" i="25"/>
  <c r="I47" i="25"/>
  <c r="H47" i="25"/>
  <c r="G47" i="25"/>
  <c r="F47" i="25"/>
  <c r="V46" i="25"/>
  <c r="U46" i="25"/>
  <c r="T46" i="25"/>
  <c r="S46" i="25"/>
  <c r="R46" i="25"/>
  <c r="Q46" i="25"/>
  <c r="P46" i="25"/>
  <c r="O46" i="25"/>
  <c r="K46" i="25"/>
  <c r="J46" i="25"/>
  <c r="I46" i="25"/>
  <c r="H46" i="25"/>
  <c r="G46" i="25"/>
  <c r="F46" i="25"/>
  <c r="V45" i="25"/>
  <c r="U45" i="25"/>
  <c r="T45" i="25"/>
  <c r="S45" i="25"/>
  <c r="R45" i="25"/>
  <c r="Q45" i="25"/>
  <c r="P45" i="25"/>
  <c r="O45" i="25"/>
  <c r="K45" i="25"/>
  <c r="J45" i="25"/>
  <c r="I45" i="25"/>
  <c r="H45" i="25"/>
  <c r="G45" i="25"/>
  <c r="F45" i="25"/>
  <c r="V44" i="25"/>
  <c r="U44" i="25"/>
  <c r="T44" i="25"/>
  <c r="S44" i="25"/>
  <c r="R44" i="25"/>
  <c r="Q44" i="25"/>
  <c r="P44" i="25"/>
  <c r="O44" i="25"/>
  <c r="K44" i="25"/>
  <c r="J44" i="25"/>
  <c r="I44" i="25"/>
  <c r="H44" i="25"/>
  <c r="G44" i="25"/>
  <c r="F44" i="25"/>
  <c r="V43" i="25"/>
  <c r="U43" i="25"/>
  <c r="T43" i="25"/>
  <c r="S43" i="25"/>
  <c r="R43" i="25"/>
  <c r="Q43" i="25"/>
  <c r="P43" i="25"/>
  <c r="O43" i="25"/>
  <c r="K43" i="25"/>
  <c r="J43" i="25"/>
  <c r="I43" i="25"/>
  <c r="H43" i="25"/>
  <c r="G43" i="25"/>
  <c r="F43" i="25"/>
  <c r="V42" i="25"/>
  <c r="U42" i="25"/>
  <c r="T42" i="25"/>
  <c r="S42" i="25"/>
  <c r="R42" i="25"/>
  <c r="Q42" i="25"/>
  <c r="P42" i="25"/>
  <c r="O42" i="25"/>
  <c r="K42" i="25"/>
  <c r="J42" i="25"/>
  <c r="I42" i="25"/>
  <c r="H42" i="25"/>
  <c r="G42" i="25"/>
  <c r="F42" i="25"/>
  <c r="V41" i="25"/>
  <c r="U41" i="25"/>
  <c r="T41" i="25"/>
  <c r="S41" i="25"/>
  <c r="R41" i="25"/>
  <c r="Q41" i="25"/>
  <c r="P41" i="25"/>
  <c r="O41" i="25"/>
  <c r="K41" i="25"/>
  <c r="J41" i="25"/>
  <c r="I41" i="25"/>
  <c r="H41" i="25"/>
  <c r="G41" i="25"/>
  <c r="F41" i="25"/>
  <c r="V40" i="25"/>
  <c r="U40" i="25"/>
  <c r="T40" i="25"/>
  <c r="S40" i="25"/>
  <c r="R40" i="25"/>
  <c r="Q40" i="25"/>
  <c r="P40" i="25"/>
  <c r="O40" i="25"/>
  <c r="K40" i="25"/>
  <c r="J40" i="25"/>
  <c r="I40" i="25"/>
  <c r="H40" i="25"/>
  <c r="G40" i="25"/>
  <c r="F40" i="25"/>
  <c r="V39" i="25"/>
  <c r="U39" i="25"/>
  <c r="T39" i="25"/>
  <c r="S39" i="25"/>
  <c r="R39" i="25"/>
  <c r="Q39" i="25"/>
  <c r="P39" i="25"/>
  <c r="O39" i="25"/>
  <c r="K39" i="25"/>
  <c r="J39" i="25"/>
  <c r="I39" i="25"/>
  <c r="H39" i="25"/>
  <c r="G39" i="25"/>
  <c r="F39" i="25"/>
  <c r="V38" i="25"/>
  <c r="U38" i="25"/>
  <c r="T38" i="25"/>
  <c r="S38" i="25"/>
  <c r="R38" i="25"/>
  <c r="Q38" i="25"/>
  <c r="P38" i="25"/>
  <c r="K38" i="25"/>
  <c r="J38" i="25"/>
  <c r="I38" i="25"/>
  <c r="H38" i="25"/>
  <c r="G38" i="25"/>
  <c r="F38" i="25"/>
  <c r="V37" i="25"/>
  <c r="U37" i="25"/>
  <c r="T37" i="25"/>
  <c r="S37" i="25"/>
  <c r="R37" i="25"/>
  <c r="Q37" i="25"/>
  <c r="P37" i="25"/>
  <c r="K37" i="25"/>
  <c r="J37" i="25"/>
  <c r="I37" i="25"/>
  <c r="H37" i="25"/>
  <c r="G37" i="25"/>
  <c r="F37" i="25"/>
  <c r="V36" i="25"/>
  <c r="U36" i="25"/>
  <c r="T36" i="25"/>
  <c r="S36" i="25"/>
  <c r="R36" i="25"/>
  <c r="Q36" i="25"/>
  <c r="P36" i="25"/>
  <c r="K36" i="25"/>
  <c r="J36" i="25"/>
  <c r="I36" i="25"/>
  <c r="H36" i="25"/>
  <c r="G36" i="25"/>
  <c r="F36" i="25"/>
  <c r="V35" i="25"/>
  <c r="U35" i="25"/>
  <c r="T35" i="25"/>
  <c r="S35" i="25"/>
  <c r="R35" i="25"/>
  <c r="Q35" i="25"/>
  <c r="P35" i="25"/>
  <c r="K35" i="25"/>
  <c r="J35" i="25"/>
  <c r="I35" i="25"/>
  <c r="H35" i="25"/>
  <c r="G35" i="25"/>
  <c r="F35" i="25"/>
  <c r="V34" i="25"/>
  <c r="U34" i="25"/>
  <c r="T34" i="25"/>
  <c r="S34" i="25"/>
  <c r="R34" i="25"/>
  <c r="Q34" i="25"/>
  <c r="P34" i="25"/>
  <c r="K34" i="25"/>
  <c r="J34" i="25"/>
  <c r="I34" i="25"/>
  <c r="H34" i="25"/>
  <c r="G34" i="25"/>
  <c r="F34" i="25"/>
  <c r="V33" i="25"/>
  <c r="U33" i="25"/>
  <c r="T33" i="25"/>
  <c r="S33" i="25"/>
  <c r="R33" i="25"/>
  <c r="Q33" i="25"/>
  <c r="P33" i="25"/>
  <c r="K33" i="25"/>
  <c r="J33" i="25"/>
  <c r="I33" i="25"/>
  <c r="H33" i="25"/>
  <c r="G33" i="25"/>
  <c r="F33" i="25"/>
  <c r="V32" i="25"/>
  <c r="U32" i="25"/>
  <c r="T32" i="25"/>
  <c r="S32" i="25"/>
  <c r="R32" i="25"/>
  <c r="Q32" i="25"/>
  <c r="P32" i="25"/>
  <c r="K32" i="25"/>
  <c r="J32" i="25"/>
  <c r="I32" i="25"/>
  <c r="H32" i="25"/>
  <c r="G32" i="25"/>
  <c r="F32" i="25"/>
  <c r="V31" i="25"/>
  <c r="U31" i="25"/>
  <c r="T31" i="25"/>
  <c r="S31" i="25"/>
  <c r="R31" i="25"/>
  <c r="Q31" i="25"/>
  <c r="P31" i="25"/>
  <c r="K31" i="25"/>
  <c r="J31" i="25"/>
  <c r="I31" i="25"/>
  <c r="H31" i="25"/>
  <c r="G31" i="25"/>
  <c r="F31" i="25"/>
  <c r="V30" i="25"/>
  <c r="U30" i="25"/>
  <c r="T30" i="25"/>
  <c r="S30" i="25"/>
  <c r="R30" i="25"/>
  <c r="Q30" i="25"/>
  <c r="P30" i="25"/>
  <c r="K30" i="25"/>
  <c r="J30" i="25"/>
  <c r="I30" i="25"/>
  <c r="H30" i="25"/>
  <c r="G30" i="25"/>
  <c r="F30" i="25"/>
  <c r="V29" i="25"/>
  <c r="U29" i="25"/>
  <c r="T29" i="25"/>
  <c r="S29" i="25"/>
  <c r="R29" i="25"/>
  <c r="Q29" i="25"/>
  <c r="P29" i="25"/>
  <c r="K29" i="25"/>
  <c r="J29" i="25"/>
  <c r="I29" i="25"/>
  <c r="H29" i="25"/>
  <c r="G29" i="25"/>
  <c r="F29" i="25"/>
  <c r="V28" i="25"/>
  <c r="U28" i="25"/>
  <c r="T28" i="25"/>
  <c r="S28" i="25"/>
  <c r="R28" i="25"/>
  <c r="Q28" i="25"/>
  <c r="P28" i="25"/>
  <c r="K28" i="25"/>
  <c r="J28" i="25"/>
  <c r="I28" i="25"/>
  <c r="H28" i="25"/>
  <c r="G28" i="25"/>
  <c r="F28" i="25"/>
  <c r="V27" i="25"/>
  <c r="U27" i="25"/>
  <c r="T27" i="25"/>
  <c r="S27" i="25"/>
  <c r="R27" i="25"/>
  <c r="Q27" i="25"/>
  <c r="P27" i="25"/>
  <c r="K27" i="25"/>
  <c r="J27" i="25"/>
  <c r="I27" i="25"/>
  <c r="H27" i="25"/>
  <c r="G27" i="25"/>
  <c r="F27" i="25"/>
  <c r="V26" i="25"/>
  <c r="U26" i="25"/>
  <c r="T26" i="25"/>
  <c r="S26" i="25"/>
  <c r="R26" i="25"/>
  <c r="Q26" i="25"/>
  <c r="P26" i="25"/>
  <c r="K26" i="25"/>
  <c r="J26" i="25"/>
  <c r="I26" i="25"/>
  <c r="H26" i="25"/>
  <c r="G26" i="25"/>
  <c r="F26" i="25"/>
  <c r="V25" i="25"/>
  <c r="U25" i="25"/>
  <c r="T25" i="25"/>
  <c r="S25" i="25"/>
  <c r="R25" i="25"/>
  <c r="Q25" i="25"/>
  <c r="P25" i="25"/>
  <c r="K25" i="25"/>
  <c r="J25" i="25"/>
  <c r="I25" i="25"/>
  <c r="H25" i="25"/>
  <c r="G25" i="25"/>
  <c r="F25" i="25"/>
  <c r="V24" i="25"/>
  <c r="U24" i="25"/>
  <c r="T24" i="25"/>
  <c r="S24" i="25"/>
  <c r="R24" i="25"/>
  <c r="Q24" i="25"/>
  <c r="P24" i="25"/>
  <c r="K24" i="25"/>
  <c r="J24" i="25"/>
  <c r="I24" i="25"/>
  <c r="H24" i="25"/>
  <c r="G24" i="25"/>
  <c r="F24" i="25"/>
  <c r="V23" i="25"/>
  <c r="U23" i="25"/>
  <c r="T23" i="25"/>
  <c r="S23" i="25"/>
  <c r="R23" i="25"/>
  <c r="Q23" i="25"/>
  <c r="P23" i="25"/>
  <c r="K23" i="25"/>
  <c r="J23" i="25"/>
  <c r="I23" i="25"/>
  <c r="H23" i="25"/>
  <c r="G23" i="25"/>
  <c r="F23" i="25"/>
  <c r="V22" i="25"/>
  <c r="U22" i="25"/>
  <c r="T22" i="25"/>
  <c r="S22" i="25"/>
  <c r="R22" i="25"/>
  <c r="Q22" i="25"/>
  <c r="P22" i="25"/>
  <c r="K22" i="25"/>
  <c r="J22" i="25"/>
  <c r="I22" i="25"/>
  <c r="H22" i="25"/>
  <c r="G22" i="25"/>
  <c r="F22" i="25"/>
  <c r="V21" i="25"/>
  <c r="U21" i="25"/>
  <c r="T21" i="25"/>
  <c r="S21" i="25"/>
  <c r="R21" i="25"/>
  <c r="Q21" i="25"/>
  <c r="P21" i="25"/>
  <c r="K21" i="25"/>
  <c r="J21" i="25"/>
  <c r="I21" i="25"/>
  <c r="H21" i="25"/>
  <c r="G21" i="25"/>
  <c r="F21" i="25"/>
  <c r="V20" i="25"/>
  <c r="U20" i="25"/>
  <c r="T20" i="25"/>
  <c r="S20" i="25"/>
  <c r="R20" i="25"/>
  <c r="Q20" i="25"/>
  <c r="P20" i="25"/>
  <c r="K20" i="25"/>
  <c r="J20" i="25"/>
  <c r="I20" i="25"/>
  <c r="H20" i="25"/>
  <c r="G20" i="25"/>
  <c r="F20" i="25"/>
  <c r="V19" i="25"/>
  <c r="U19" i="25"/>
  <c r="T19" i="25"/>
  <c r="S19" i="25"/>
  <c r="R19" i="25"/>
  <c r="Q19" i="25"/>
  <c r="P19" i="25"/>
  <c r="K19" i="25"/>
  <c r="J19" i="25"/>
  <c r="I19" i="25"/>
  <c r="H19" i="25"/>
  <c r="G19" i="25"/>
  <c r="F19" i="25"/>
  <c r="V18" i="25"/>
  <c r="U18" i="25"/>
  <c r="T18" i="25"/>
  <c r="S18" i="25"/>
  <c r="R18" i="25"/>
  <c r="Q18" i="25"/>
  <c r="P18" i="25"/>
  <c r="K18" i="25"/>
  <c r="J18" i="25"/>
  <c r="I18" i="25"/>
  <c r="H18" i="25"/>
  <c r="G18" i="25"/>
  <c r="F18" i="25"/>
  <c r="V17" i="25"/>
  <c r="U17" i="25"/>
  <c r="T17" i="25"/>
  <c r="S17" i="25"/>
  <c r="R17" i="25"/>
  <c r="Q17" i="25"/>
  <c r="P17" i="25"/>
  <c r="K17" i="25"/>
  <c r="J17" i="25"/>
  <c r="I17" i="25"/>
  <c r="H17" i="25"/>
  <c r="G17" i="25"/>
  <c r="F17" i="25"/>
  <c r="V16" i="25"/>
  <c r="U16" i="25"/>
  <c r="T16" i="25"/>
  <c r="S16" i="25"/>
  <c r="R16" i="25"/>
  <c r="Q16" i="25"/>
  <c r="P16" i="25"/>
  <c r="K16" i="25"/>
  <c r="J16" i="25"/>
  <c r="I16" i="25"/>
  <c r="H16" i="25"/>
  <c r="G16" i="25"/>
  <c r="F16" i="25"/>
  <c r="V15" i="25"/>
  <c r="U15" i="25"/>
  <c r="T15" i="25"/>
  <c r="R15" i="25"/>
  <c r="S15" i="25" s="1"/>
  <c r="P15" i="25"/>
  <c r="Q15" i="25" s="1"/>
  <c r="K15" i="25"/>
  <c r="G15" i="25"/>
  <c r="F15" i="25"/>
  <c r="H15" i="25" s="1"/>
  <c r="V14" i="25"/>
  <c r="U14" i="25"/>
  <c r="T14" i="25"/>
  <c r="R14" i="25"/>
  <c r="S14" i="25" s="1"/>
  <c r="P14" i="25"/>
  <c r="Q14" i="25" s="1"/>
  <c r="K14" i="25"/>
  <c r="G14" i="25"/>
  <c r="F14" i="25"/>
  <c r="H14" i="25" s="1"/>
  <c r="V13" i="25"/>
  <c r="U13" i="25"/>
  <c r="T13" i="25"/>
  <c r="R13" i="25"/>
  <c r="S13" i="25" s="1"/>
  <c r="K13" i="25"/>
  <c r="G13" i="25"/>
  <c r="F13" i="25"/>
  <c r="P13" i="25" s="1"/>
  <c r="Q13" i="25" s="1"/>
  <c r="V12" i="25"/>
  <c r="U12" i="25"/>
  <c r="T12" i="25"/>
  <c r="R12" i="25"/>
  <c r="S12" i="25" s="1"/>
  <c r="K12" i="25"/>
  <c r="G12" i="25"/>
  <c r="F12" i="25"/>
  <c r="P12" i="25" s="1"/>
  <c r="Q12" i="25" s="1"/>
  <c r="V11" i="25"/>
  <c r="U11" i="25"/>
  <c r="T11" i="25"/>
  <c r="R11" i="25"/>
  <c r="S11" i="25" s="1"/>
  <c r="K11" i="25"/>
  <c r="G11" i="25"/>
  <c r="F11" i="25"/>
  <c r="V10" i="25"/>
  <c r="U10" i="25"/>
  <c r="T10" i="25"/>
  <c r="R10" i="25"/>
  <c r="S10" i="25" s="1"/>
  <c r="K10" i="25"/>
  <c r="G10" i="25"/>
  <c r="F10" i="25"/>
  <c r="P10" i="25" s="1"/>
  <c r="Q10" i="25" s="1"/>
  <c r="V9" i="25"/>
  <c r="U9" i="25"/>
  <c r="T9" i="25"/>
  <c r="R9" i="25"/>
  <c r="S9" i="25" s="1"/>
  <c r="K9" i="25"/>
  <c r="G9" i="25"/>
  <c r="F9" i="25"/>
  <c r="V8" i="25"/>
  <c r="U8" i="25"/>
  <c r="T8" i="25"/>
  <c r="R8" i="25"/>
  <c r="S8" i="25" s="1"/>
  <c r="K8" i="25"/>
  <c r="G8" i="25"/>
  <c r="F8" i="25"/>
  <c r="P8" i="25" s="1"/>
  <c r="Q8" i="25" s="1"/>
  <c r="V7" i="25"/>
  <c r="U7" i="25"/>
  <c r="T7" i="25"/>
  <c r="R7" i="25"/>
  <c r="S7" i="25" s="1"/>
  <c r="K7" i="25"/>
  <c r="G7" i="25"/>
  <c r="F7" i="25"/>
  <c r="V6" i="25"/>
  <c r="U6" i="25"/>
  <c r="T6" i="25"/>
  <c r="R6" i="25"/>
  <c r="S6" i="25" s="1"/>
  <c r="K6" i="25"/>
  <c r="G6" i="25"/>
  <c r="F6" i="25"/>
  <c r="V5" i="25"/>
  <c r="U5" i="25"/>
  <c r="T5" i="25"/>
  <c r="R5" i="25"/>
  <c r="S5" i="25" s="1"/>
  <c r="K5" i="25"/>
  <c r="P255" i="4" s="1"/>
  <c r="P256" i="4" s="1"/>
  <c r="N8" i="17" s="1"/>
  <c r="G5" i="25"/>
  <c r="F5" i="25"/>
  <c r="V4" i="25"/>
  <c r="U4" i="25"/>
  <c r="T4" i="25"/>
  <c r="R4" i="25"/>
  <c r="S4" i="25" s="1"/>
  <c r="K4" i="25"/>
  <c r="L255" i="4" s="1"/>
  <c r="L256" i="4" s="1"/>
  <c r="J8" i="17" s="1"/>
  <c r="G4" i="25"/>
  <c r="F4" i="25"/>
  <c r="P4" i="25" s="1"/>
  <c r="Q4" i="25" s="1"/>
  <c r="V3" i="25"/>
  <c r="U3" i="25"/>
  <c r="T3" i="25"/>
  <c r="R3" i="25"/>
  <c r="S3" i="25" s="1"/>
  <c r="K3" i="25"/>
  <c r="G3" i="25"/>
  <c r="F3" i="25"/>
  <c r="V2" i="25"/>
  <c r="U2" i="25"/>
  <c r="T2" i="25"/>
  <c r="R2" i="25"/>
  <c r="S2" i="25" s="1"/>
  <c r="K2" i="25"/>
  <c r="G2" i="25"/>
  <c r="F2" i="25"/>
  <c r="E42" i="22"/>
  <c r="E41" i="22"/>
  <c r="R24" i="5"/>
  <c r="V14" i="1" s="1"/>
  <c r="R23" i="5"/>
  <c r="V13" i="1" s="1"/>
  <c r="R22" i="5"/>
  <c r="V12" i="1" s="1"/>
  <c r="K20" i="5"/>
  <c r="R19" i="5"/>
  <c r="R18" i="5"/>
  <c r="R17" i="5"/>
  <c r="R16" i="5"/>
  <c r="G16" i="5"/>
  <c r="F16" i="5"/>
  <c r="R15" i="5"/>
  <c r="R14" i="5"/>
  <c r="I14" i="5"/>
  <c r="G14" i="5"/>
  <c r="F14" i="5"/>
  <c r="R13" i="5"/>
  <c r="AL12" i="5"/>
  <c r="Q12" i="5"/>
  <c r="P12" i="5"/>
  <c r="O12" i="5"/>
  <c r="N12" i="5"/>
  <c r="R12" i="5" s="1"/>
  <c r="AL11" i="5"/>
  <c r="R11" i="5"/>
  <c r="AL10" i="5"/>
  <c r="R10" i="5"/>
  <c r="V9" i="1" s="1"/>
  <c r="AL9" i="5"/>
  <c r="R9" i="5"/>
  <c r="AL8" i="5"/>
  <c r="AK8" i="5"/>
  <c r="AJ8" i="5"/>
  <c r="AI8" i="5"/>
  <c r="AH8" i="5"/>
  <c r="AG8" i="5"/>
  <c r="AF8" i="5"/>
  <c r="AE8" i="5"/>
  <c r="AD8" i="5"/>
  <c r="AC8" i="5"/>
  <c r="R8" i="5"/>
  <c r="V8" i="1" s="1"/>
  <c r="AL7" i="5"/>
  <c r="R7" i="5"/>
  <c r="AL6" i="5"/>
  <c r="R5" i="5"/>
  <c r="V5" i="1" s="1"/>
  <c r="R4" i="5"/>
  <c r="V4" i="1" s="1"/>
  <c r="I10" i="19"/>
  <c r="H10" i="19"/>
  <c r="G10" i="19"/>
  <c r="F10" i="19"/>
  <c r="E10" i="19"/>
  <c r="D10" i="19"/>
  <c r="C10" i="19"/>
  <c r="R7" i="19"/>
  <c r="Q7" i="19"/>
  <c r="P7" i="19"/>
  <c r="O7" i="19"/>
  <c r="N7" i="19"/>
  <c r="M7" i="19"/>
  <c r="L7" i="19"/>
  <c r="L67" i="13"/>
  <c r="AE63" i="13"/>
  <c r="X63" i="13"/>
  <c r="Q63" i="13"/>
  <c r="J63" i="13"/>
  <c r="AF60" i="13"/>
  <c r="AE60" i="13"/>
  <c r="Y60" i="13"/>
  <c r="X60" i="13"/>
  <c r="R60" i="13"/>
  <c r="Q60" i="13"/>
  <c r="K60" i="13"/>
  <c r="J60" i="13"/>
  <c r="AE59" i="13"/>
  <c r="X59" i="13"/>
  <c r="Q59" i="13"/>
  <c r="J59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K53" i="9"/>
  <c r="J53" i="9"/>
  <c r="I53" i="9"/>
  <c r="H53" i="9"/>
  <c r="G53" i="9"/>
  <c r="K52" i="9"/>
  <c r="J52" i="9"/>
  <c r="I52" i="9"/>
  <c r="H52" i="9"/>
  <c r="G52" i="9"/>
  <c r="K51" i="9"/>
  <c r="J51" i="9"/>
  <c r="I51" i="9"/>
  <c r="H51" i="9"/>
  <c r="G51" i="9"/>
  <c r="K50" i="9"/>
  <c r="J50" i="9"/>
  <c r="I50" i="9"/>
  <c r="H50" i="9"/>
  <c r="G50" i="9"/>
  <c r="K49" i="9"/>
  <c r="J49" i="9"/>
  <c r="I49" i="9"/>
  <c r="H49" i="9"/>
  <c r="G49" i="9"/>
  <c r="K48" i="9"/>
  <c r="J48" i="9"/>
  <c r="I48" i="9"/>
  <c r="H48" i="9"/>
  <c r="G48" i="9"/>
  <c r="K47" i="9"/>
  <c r="J47" i="9"/>
  <c r="I47" i="9"/>
  <c r="H47" i="9"/>
  <c r="G47" i="9"/>
  <c r="H46" i="9"/>
  <c r="H45" i="9"/>
  <c r="K44" i="9"/>
  <c r="J44" i="9"/>
  <c r="I44" i="9"/>
  <c r="H44" i="9"/>
  <c r="G44" i="9"/>
  <c r="K43" i="9"/>
  <c r="J43" i="9"/>
  <c r="I43" i="9"/>
  <c r="H43" i="9"/>
  <c r="G43" i="9"/>
  <c r="H42" i="9"/>
  <c r="G42" i="9"/>
  <c r="H41" i="9"/>
  <c r="G41" i="9"/>
  <c r="H40" i="9"/>
  <c r="G40" i="9"/>
  <c r="Z39" i="9"/>
  <c r="Y39" i="9"/>
  <c r="X39" i="9"/>
  <c r="W39" i="9"/>
  <c r="V39" i="9"/>
  <c r="U39" i="9"/>
  <c r="T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Z37" i="9"/>
  <c r="Y37" i="9"/>
  <c r="X37" i="9"/>
  <c r="W37" i="9"/>
  <c r="V37" i="9"/>
  <c r="U37" i="9"/>
  <c r="T37" i="9"/>
  <c r="Q37" i="9"/>
  <c r="P37" i="9"/>
  <c r="O37" i="9"/>
  <c r="N37" i="9"/>
  <c r="M37" i="9"/>
  <c r="L37" i="9"/>
  <c r="K37" i="9"/>
  <c r="J37" i="9"/>
  <c r="I37" i="9"/>
  <c r="F37" i="9"/>
  <c r="E37" i="9"/>
  <c r="D37" i="9"/>
  <c r="C37" i="9"/>
  <c r="S36" i="9"/>
  <c r="R36" i="9"/>
  <c r="H36" i="9"/>
  <c r="G36" i="9"/>
  <c r="S35" i="9"/>
  <c r="R35" i="9"/>
  <c r="H35" i="9"/>
  <c r="G35" i="9"/>
  <c r="S34" i="9"/>
  <c r="R34" i="9"/>
  <c r="H34" i="9"/>
  <c r="G34" i="9"/>
  <c r="S33" i="9"/>
  <c r="R33" i="9"/>
  <c r="H33" i="9"/>
  <c r="G33" i="9"/>
  <c r="S32" i="9"/>
  <c r="R32" i="9"/>
  <c r="H32" i="9"/>
  <c r="G32" i="9"/>
  <c r="S31" i="9"/>
  <c r="R31" i="9"/>
  <c r="H31" i="9"/>
  <c r="G31" i="9"/>
  <c r="S30" i="9"/>
  <c r="R30" i="9"/>
  <c r="H30" i="9"/>
  <c r="G30" i="9"/>
  <c r="S29" i="9"/>
  <c r="R29" i="9"/>
  <c r="H29" i="9"/>
  <c r="G29" i="9"/>
  <c r="S28" i="9"/>
  <c r="R28" i="9"/>
  <c r="H28" i="9"/>
  <c r="G28" i="9"/>
  <c r="S27" i="9"/>
  <c r="R27" i="9"/>
  <c r="H27" i="9"/>
  <c r="G27" i="9"/>
  <c r="S26" i="9"/>
  <c r="R26" i="9"/>
  <c r="H26" i="9"/>
  <c r="G26" i="9"/>
  <c r="S25" i="9"/>
  <c r="R25" i="9"/>
  <c r="H25" i="9"/>
  <c r="G25" i="9"/>
  <c r="S24" i="9"/>
  <c r="R24" i="9"/>
  <c r="H24" i="9"/>
  <c r="G24" i="9"/>
  <c r="S23" i="9"/>
  <c r="R23" i="9"/>
  <c r="H23" i="9"/>
  <c r="G23" i="9"/>
  <c r="S22" i="9"/>
  <c r="R22" i="9"/>
  <c r="H22" i="9"/>
  <c r="G22" i="9"/>
  <c r="S21" i="9"/>
  <c r="R21" i="9"/>
  <c r="H21" i="9"/>
  <c r="G21" i="9"/>
  <c r="S20" i="9"/>
  <c r="R20" i="9"/>
  <c r="H20" i="9"/>
  <c r="G20" i="9"/>
  <c r="S19" i="9"/>
  <c r="R19" i="9"/>
  <c r="H19" i="9"/>
  <c r="G19" i="9"/>
  <c r="S18" i="9"/>
  <c r="R18" i="9"/>
  <c r="H18" i="9"/>
  <c r="G18" i="9"/>
  <c r="S17" i="9"/>
  <c r="R17" i="9"/>
  <c r="H17" i="9"/>
  <c r="G17" i="9"/>
  <c r="S16" i="9"/>
  <c r="R16" i="9"/>
  <c r="H16" i="9"/>
  <c r="G16" i="9"/>
  <c r="S15" i="9"/>
  <c r="R15" i="9"/>
  <c r="H15" i="9"/>
  <c r="G15" i="9"/>
  <c r="S14" i="9"/>
  <c r="R14" i="9"/>
  <c r="H14" i="9"/>
  <c r="G14" i="9"/>
  <c r="S13" i="9"/>
  <c r="R13" i="9"/>
  <c r="H13" i="9"/>
  <c r="G13" i="9"/>
  <c r="S12" i="9"/>
  <c r="R12" i="9"/>
  <c r="H12" i="9"/>
  <c r="G12" i="9"/>
  <c r="S11" i="9"/>
  <c r="R11" i="9"/>
  <c r="H11" i="9"/>
  <c r="G11" i="9"/>
  <c r="S10" i="9"/>
  <c r="R10" i="9"/>
  <c r="H10" i="9"/>
  <c r="G10" i="9"/>
  <c r="S9" i="9"/>
  <c r="R9" i="9"/>
  <c r="H9" i="9"/>
  <c r="G9" i="9"/>
  <c r="S8" i="9"/>
  <c r="R8" i="9"/>
  <c r="H8" i="9"/>
  <c r="G8" i="9"/>
  <c r="S7" i="9"/>
  <c r="R7" i="9"/>
  <c r="H7" i="9"/>
  <c r="G7" i="9"/>
  <c r="B7" i="9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S6" i="9"/>
  <c r="R6" i="9"/>
  <c r="H6" i="9"/>
  <c r="G6" i="9"/>
  <c r="Q48" i="6"/>
  <c r="P48" i="6"/>
  <c r="O48" i="6"/>
  <c r="N48" i="6"/>
  <c r="R48" i="6" s="1"/>
  <c r="M48" i="6"/>
  <c r="K48" i="6"/>
  <c r="J48" i="6"/>
  <c r="I48" i="6"/>
  <c r="H48" i="6"/>
  <c r="Q47" i="6"/>
  <c r="P47" i="6"/>
  <c r="O47" i="6"/>
  <c r="N47" i="6"/>
  <c r="M47" i="6"/>
  <c r="K47" i="6"/>
  <c r="J47" i="6"/>
  <c r="I47" i="6"/>
  <c r="H47" i="6"/>
  <c r="Q46" i="6"/>
  <c r="P46" i="6"/>
  <c r="O46" i="6"/>
  <c r="N46" i="6"/>
  <c r="M46" i="6"/>
  <c r="K46" i="6"/>
  <c r="J46" i="6"/>
  <c r="I46" i="6"/>
  <c r="H46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E17" i="6"/>
  <c r="Q14" i="6"/>
  <c r="W14" i="1" s="1"/>
  <c r="Q13" i="6"/>
  <c r="Q12" i="6"/>
  <c r="Q10" i="6"/>
  <c r="Q8" i="6"/>
  <c r="P6" i="6"/>
  <c r="O6" i="6"/>
  <c r="N6" i="6"/>
  <c r="M6" i="6"/>
  <c r="L6" i="6"/>
  <c r="K6" i="6"/>
  <c r="J6" i="6"/>
  <c r="I6" i="6"/>
  <c r="H6" i="6"/>
  <c r="S5" i="6"/>
  <c r="Q5" i="6"/>
  <c r="Q6" i="6" s="1"/>
  <c r="S4" i="6"/>
  <c r="U4" i="6" s="1"/>
  <c r="Q4" i="6"/>
  <c r="D3" i="6"/>
  <c r="Q2" i="6"/>
  <c r="P2" i="6"/>
  <c r="O2" i="6"/>
  <c r="N2" i="6"/>
  <c r="M2" i="6"/>
  <c r="L2" i="6"/>
  <c r="K2" i="6"/>
  <c r="J2" i="6"/>
  <c r="I2" i="6"/>
  <c r="H2" i="6"/>
  <c r="G2" i="6"/>
  <c r="F2" i="6"/>
  <c r="E2" i="6"/>
  <c r="B2" i="6"/>
  <c r="U380" i="4"/>
  <c r="T380" i="4"/>
  <c r="R380" i="4"/>
  <c r="Q380" i="4"/>
  <c r="P380" i="4"/>
  <c r="O380" i="4"/>
  <c r="N380" i="4"/>
  <c r="M380" i="4"/>
  <c r="L380" i="4"/>
  <c r="K380" i="4"/>
  <c r="J380" i="4"/>
  <c r="P378" i="4"/>
  <c r="M378" i="4"/>
  <c r="U375" i="4"/>
  <c r="T375" i="4"/>
  <c r="S375" i="4"/>
  <c r="R375" i="4"/>
  <c r="Q375" i="4"/>
  <c r="P375" i="4"/>
  <c r="O375" i="4"/>
  <c r="N375" i="4"/>
  <c r="M375" i="4"/>
  <c r="L375" i="4"/>
  <c r="K375" i="4"/>
  <c r="K376" i="4" s="1"/>
  <c r="J375" i="4"/>
  <c r="U374" i="4"/>
  <c r="U376" i="4" s="1"/>
  <c r="U377" i="4" s="1"/>
  <c r="T374" i="4"/>
  <c r="T378" i="4" s="1"/>
  <c r="S374" i="4"/>
  <c r="S376" i="4" s="1"/>
  <c r="S377" i="4" s="1"/>
  <c r="R374" i="4"/>
  <c r="R376" i="4" s="1"/>
  <c r="R377" i="4" s="1"/>
  <c r="Q374" i="4"/>
  <c r="Q378" i="4" s="1"/>
  <c r="P374" i="4"/>
  <c r="O374" i="4"/>
  <c r="O378" i="4" s="1"/>
  <c r="N374" i="4"/>
  <c r="N378" i="4" s="1"/>
  <c r="M374" i="4"/>
  <c r="L374" i="4"/>
  <c r="L378" i="4" s="1"/>
  <c r="K374" i="4"/>
  <c r="K378" i="4" s="1"/>
  <c r="J374" i="4"/>
  <c r="J378" i="4" s="1"/>
  <c r="U372" i="4"/>
  <c r="U373" i="4" s="1"/>
  <c r="U371" i="4"/>
  <c r="T371" i="4"/>
  <c r="S371" i="4"/>
  <c r="R371" i="4"/>
  <c r="Q371" i="4"/>
  <c r="P371" i="4"/>
  <c r="O371" i="4"/>
  <c r="N371" i="4"/>
  <c r="M371" i="4"/>
  <c r="L371" i="4"/>
  <c r="K371" i="4"/>
  <c r="J371" i="4"/>
  <c r="U370" i="4"/>
  <c r="T370" i="4"/>
  <c r="T372" i="4" s="1"/>
  <c r="T373" i="4" s="1"/>
  <c r="S370" i="4"/>
  <c r="S372" i="4" s="1"/>
  <c r="S373" i="4" s="1"/>
  <c r="R370" i="4"/>
  <c r="Q370" i="4"/>
  <c r="P370" i="4"/>
  <c r="O370" i="4"/>
  <c r="N370" i="4"/>
  <c r="N372" i="4" s="1"/>
  <c r="N373" i="4" s="1"/>
  <c r="M370" i="4"/>
  <c r="L370" i="4"/>
  <c r="L372" i="4" s="1"/>
  <c r="L373" i="4" s="1"/>
  <c r="K370" i="4"/>
  <c r="J370" i="4"/>
  <c r="J372" i="4" s="1"/>
  <c r="J373" i="4" s="1"/>
  <c r="U367" i="4"/>
  <c r="T367" i="4"/>
  <c r="S367" i="4"/>
  <c r="R367" i="4"/>
  <c r="Q367" i="4"/>
  <c r="P367" i="4"/>
  <c r="O367" i="4"/>
  <c r="N367" i="4"/>
  <c r="M367" i="4"/>
  <c r="L367" i="4"/>
  <c r="K367" i="4"/>
  <c r="J367" i="4"/>
  <c r="U366" i="4"/>
  <c r="U368" i="4" s="1"/>
  <c r="U369" i="4" s="1"/>
  <c r="T366" i="4"/>
  <c r="T368" i="4" s="1"/>
  <c r="T369" i="4" s="1"/>
  <c r="S366" i="4"/>
  <c r="S368" i="4" s="1"/>
  <c r="S369" i="4" s="1"/>
  <c r="R366" i="4"/>
  <c r="R368" i="4" s="1"/>
  <c r="R369" i="4" s="1"/>
  <c r="Q366" i="4"/>
  <c r="P366" i="4"/>
  <c r="O366" i="4"/>
  <c r="N366" i="4"/>
  <c r="N368" i="4" s="1"/>
  <c r="N369" i="4" s="1"/>
  <c r="M366" i="4"/>
  <c r="L366" i="4"/>
  <c r="L368" i="4" s="1"/>
  <c r="L369" i="4" s="1"/>
  <c r="K366" i="4"/>
  <c r="J366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AJ354" i="4"/>
  <c r="AJ352" i="4"/>
  <c r="AJ351" i="4"/>
  <c r="AJ350" i="4"/>
  <c r="AJ349" i="4"/>
  <c r="AJ348" i="4"/>
  <c r="C344" i="4"/>
  <c r="AK343" i="4"/>
  <c r="AK342" i="4"/>
  <c r="AK341" i="4"/>
  <c r="AK340" i="4"/>
  <c r="AK339" i="4"/>
  <c r="AK338" i="4"/>
  <c r="AK337" i="4"/>
  <c r="AK336" i="4"/>
  <c r="AK335" i="4"/>
  <c r="AK334" i="4"/>
  <c r="AK333" i="4"/>
  <c r="AK332" i="4"/>
  <c r="AK331" i="4"/>
  <c r="AK330" i="4"/>
  <c r="AK329" i="4"/>
  <c r="AK328" i="4"/>
  <c r="AK327" i="4"/>
  <c r="AK326" i="4"/>
  <c r="AK325" i="4"/>
  <c r="AK324" i="4"/>
  <c r="AK323" i="4"/>
  <c r="AK322" i="4"/>
  <c r="AK321" i="4"/>
  <c r="AK320" i="4"/>
  <c r="AK319" i="4"/>
  <c r="AK318" i="4"/>
  <c r="AK317" i="4"/>
  <c r="AK316" i="4"/>
  <c r="AK315" i="4"/>
  <c r="AK314" i="4"/>
  <c r="AK313" i="4"/>
  <c r="AK312" i="4"/>
  <c r="AK311" i="4"/>
  <c r="AK310" i="4"/>
  <c r="AK309" i="4"/>
  <c r="AK308" i="4"/>
  <c r="AK307" i="4"/>
  <c r="AK306" i="4"/>
  <c r="AK305" i="4"/>
  <c r="AK304" i="4"/>
  <c r="AK303" i="4"/>
  <c r="AK302" i="4"/>
  <c r="AK301" i="4"/>
  <c r="AK300" i="4"/>
  <c r="AK299" i="4"/>
  <c r="AK298" i="4"/>
  <c r="AK297" i="4"/>
  <c r="AK296" i="4"/>
  <c r="AK295" i="4"/>
  <c r="AK294" i="4"/>
  <c r="AK293" i="4"/>
  <c r="AK292" i="4"/>
  <c r="AK291" i="4"/>
  <c r="AK290" i="4"/>
  <c r="AK289" i="4"/>
  <c r="AK288" i="4"/>
  <c r="C285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AK282" i="4"/>
  <c r="AJ282" i="4"/>
  <c r="AJ281" i="4"/>
  <c r="AJ280" i="4"/>
  <c r="AJ279" i="4"/>
  <c r="AJ278" i="4"/>
  <c r="AJ277" i="4"/>
  <c r="AJ276" i="4"/>
  <c r="AJ275" i="4"/>
  <c r="C272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C265" i="4"/>
  <c r="AI262" i="4"/>
  <c r="AI263" i="4" s="1"/>
  <c r="AG9" i="17" s="1"/>
  <c r="AH262" i="4"/>
  <c r="AH263" i="4" s="1"/>
  <c r="AF9" i="17" s="1"/>
  <c r="AG262" i="4"/>
  <c r="AG263" i="4" s="1"/>
  <c r="AE9" i="17" s="1"/>
  <c r="AF262" i="4"/>
  <c r="AF263" i="4" s="1"/>
  <c r="AD9" i="17" s="1"/>
  <c r="AE262" i="4"/>
  <c r="AD262" i="4"/>
  <c r="AC262" i="4"/>
  <c r="AC263" i="4" s="1"/>
  <c r="AA9" i="17" s="1"/>
  <c r="AB262" i="4"/>
  <c r="AB263" i="4" s="1"/>
  <c r="Z9" i="17" s="1"/>
  <c r="AA262" i="4"/>
  <c r="AA263" i="4" s="1"/>
  <c r="Y9" i="17" s="1"/>
  <c r="Z262" i="4"/>
  <c r="Z263" i="4" s="1"/>
  <c r="X9" i="17" s="1"/>
  <c r="Y262" i="4"/>
  <c r="Y263" i="4" s="1"/>
  <c r="W9" i="17" s="1"/>
  <c r="X262" i="4"/>
  <c r="X263" i="4" s="1"/>
  <c r="V9" i="17" s="1"/>
  <c r="W262" i="4"/>
  <c r="W263" i="4" s="1"/>
  <c r="U9" i="17" s="1"/>
  <c r="V262" i="4"/>
  <c r="V263" i="4" s="1"/>
  <c r="T9" i="17" s="1"/>
  <c r="U262" i="4"/>
  <c r="U263" i="4" s="1"/>
  <c r="S9" i="17" s="1"/>
  <c r="T262" i="4"/>
  <c r="T263" i="4" s="1"/>
  <c r="R9" i="17" s="1"/>
  <c r="S262" i="4"/>
  <c r="S263" i="4" s="1"/>
  <c r="Q9" i="17" s="1"/>
  <c r="R262" i="4"/>
  <c r="R263" i="4" s="1"/>
  <c r="P9" i="17" s="1"/>
  <c r="Q262" i="4"/>
  <c r="Q263" i="4" s="1"/>
  <c r="O9" i="17" s="1"/>
  <c r="P262" i="4"/>
  <c r="P263" i="4" s="1"/>
  <c r="N9" i="17" s="1"/>
  <c r="O262" i="4"/>
  <c r="O263" i="4" s="1"/>
  <c r="M9" i="17" s="1"/>
  <c r="N262" i="4"/>
  <c r="M262" i="4"/>
  <c r="M263" i="4" s="1"/>
  <c r="K9" i="17" s="1"/>
  <c r="L262" i="4"/>
  <c r="L263" i="4" s="1"/>
  <c r="J9" i="17" s="1"/>
  <c r="K262" i="4"/>
  <c r="K263" i="4" s="1"/>
  <c r="I9" i="17" s="1"/>
  <c r="J262" i="4"/>
  <c r="J263" i="4" s="1"/>
  <c r="H9" i="17" s="1"/>
  <c r="I262" i="4"/>
  <c r="I263" i="4" s="1"/>
  <c r="G9" i="17" s="1"/>
  <c r="H262" i="4"/>
  <c r="H263" i="4" s="1"/>
  <c r="F9" i="17" s="1"/>
  <c r="G262" i="4"/>
  <c r="G263" i="4" s="1"/>
  <c r="E9" i="17" s="1"/>
  <c r="F262" i="4"/>
  <c r="F263" i="4" s="1"/>
  <c r="D9" i="17" s="1"/>
  <c r="E262" i="4"/>
  <c r="E263" i="4" s="1"/>
  <c r="AJ261" i="4"/>
  <c r="AJ260" i="4"/>
  <c r="C258" i="4"/>
  <c r="AI255" i="4"/>
  <c r="AI256" i="4" s="1"/>
  <c r="AG8" i="17" s="1"/>
  <c r="AH255" i="4"/>
  <c r="AH256" i="4" s="1"/>
  <c r="AF8" i="17" s="1"/>
  <c r="AG255" i="4"/>
  <c r="AG256" i="4" s="1"/>
  <c r="AE8" i="17" s="1"/>
  <c r="AF255" i="4"/>
  <c r="AF256" i="4" s="1"/>
  <c r="AD8" i="17" s="1"/>
  <c r="AE255" i="4"/>
  <c r="AE256" i="4" s="1"/>
  <c r="AC8" i="17" s="1"/>
  <c r="AD255" i="4"/>
  <c r="AD256" i="4" s="1"/>
  <c r="AB8" i="17" s="1"/>
  <c r="AC255" i="4"/>
  <c r="AC256" i="4" s="1"/>
  <c r="AA8" i="17" s="1"/>
  <c r="AB255" i="4"/>
  <c r="AB256" i="4" s="1"/>
  <c r="Z8" i="17" s="1"/>
  <c r="AA255" i="4"/>
  <c r="AA256" i="4" s="1"/>
  <c r="Y8" i="17" s="1"/>
  <c r="Z255" i="4"/>
  <c r="Y255" i="4"/>
  <c r="X255" i="4"/>
  <c r="W255" i="4"/>
  <c r="V255" i="4"/>
  <c r="U255" i="4"/>
  <c r="U256" i="4" s="1"/>
  <c r="S8" i="17" s="1"/>
  <c r="T255" i="4"/>
  <c r="S255" i="4"/>
  <c r="S256" i="4" s="1"/>
  <c r="Q8" i="17" s="1"/>
  <c r="R255" i="4"/>
  <c r="R256" i="4" s="1"/>
  <c r="P8" i="17" s="1"/>
  <c r="Q255" i="4"/>
  <c r="Q256" i="4" s="1"/>
  <c r="O8" i="17" s="1"/>
  <c r="O255" i="4"/>
  <c r="O256" i="4" s="1"/>
  <c r="M8" i="17" s="1"/>
  <c r="N255" i="4"/>
  <c r="N256" i="4" s="1"/>
  <c r="L8" i="17" s="1"/>
  <c r="M255" i="4"/>
  <c r="M256" i="4" s="1"/>
  <c r="K8" i="17" s="1"/>
  <c r="K255" i="4"/>
  <c r="K256" i="4" s="1"/>
  <c r="I8" i="17" s="1"/>
  <c r="J255" i="4"/>
  <c r="I255" i="4"/>
  <c r="H255" i="4"/>
  <c r="G255" i="4"/>
  <c r="F255" i="4"/>
  <c r="E255" i="4"/>
  <c r="AJ254" i="4"/>
  <c r="AJ253" i="4"/>
  <c r="C251" i="4"/>
  <c r="AI248" i="4"/>
  <c r="AI249" i="4" s="1"/>
  <c r="AJ80" i="1" s="1"/>
  <c r="AH248" i="4"/>
  <c r="AH249" i="4" s="1"/>
  <c r="AI80" i="1" s="1"/>
  <c r="AG248" i="4"/>
  <c r="AG249" i="4" s="1"/>
  <c r="AH80" i="1" s="1"/>
  <c r="AF248" i="4"/>
  <c r="AF249" i="4" s="1"/>
  <c r="AG80" i="1" s="1"/>
  <c r="AE248" i="4"/>
  <c r="AE249" i="4" s="1"/>
  <c r="AD248" i="4"/>
  <c r="AD249" i="4" s="1"/>
  <c r="AE80" i="1" s="1"/>
  <c r="AC248" i="4"/>
  <c r="AC249" i="4" s="1"/>
  <c r="AD80" i="1" s="1"/>
  <c r="AB248" i="4"/>
  <c r="AB249" i="4" s="1"/>
  <c r="AC80" i="1" s="1"/>
  <c r="AA248" i="4"/>
  <c r="AA249" i="4" s="1"/>
  <c r="AB80" i="1" s="1"/>
  <c r="Z248" i="4"/>
  <c r="Z249" i="4" s="1"/>
  <c r="AA80" i="1" s="1"/>
  <c r="Y248" i="4"/>
  <c r="Y249" i="4" s="1"/>
  <c r="Z80" i="1" s="1"/>
  <c r="X248" i="4"/>
  <c r="X249" i="4" s="1"/>
  <c r="Y80" i="1" s="1"/>
  <c r="W248" i="4"/>
  <c r="W249" i="4" s="1"/>
  <c r="X80" i="1" s="1"/>
  <c r="V248" i="4"/>
  <c r="V249" i="4" s="1"/>
  <c r="W80" i="1" s="1"/>
  <c r="U248" i="4"/>
  <c r="U249" i="4" s="1"/>
  <c r="V80" i="1" s="1"/>
  <c r="T248" i="4"/>
  <c r="T249" i="4" s="1"/>
  <c r="U80" i="1" s="1"/>
  <c r="S248" i="4"/>
  <c r="S249" i="4" s="1"/>
  <c r="T80" i="1" s="1"/>
  <c r="R248" i="4"/>
  <c r="R249" i="4" s="1"/>
  <c r="S80" i="1" s="1"/>
  <c r="Q248" i="4"/>
  <c r="Q249" i="4" s="1"/>
  <c r="R80" i="1" s="1"/>
  <c r="P248" i="4"/>
  <c r="P249" i="4" s="1"/>
  <c r="Q80" i="1" s="1"/>
  <c r="O248" i="4"/>
  <c r="O249" i="4" s="1"/>
  <c r="L80" i="1" s="1"/>
  <c r="N248" i="4"/>
  <c r="N249" i="4" s="1"/>
  <c r="K80" i="1" s="1"/>
  <c r="M248" i="4"/>
  <c r="M249" i="4" s="1"/>
  <c r="J80" i="1" s="1"/>
  <c r="L248" i="4"/>
  <c r="L249" i="4" s="1"/>
  <c r="I80" i="1" s="1"/>
  <c r="K248" i="4"/>
  <c r="K249" i="4" s="1"/>
  <c r="H80" i="1" s="1"/>
  <c r="J248" i="4"/>
  <c r="J249" i="4" s="1"/>
  <c r="G80" i="1" s="1"/>
  <c r="I248" i="4"/>
  <c r="I249" i="4" s="1"/>
  <c r="F80" i="1" s="1"/>
  <c r="H248" i="4"/>
  <c r="H249" i="4" s="1"/>
  <c r="E80" i="1" s="1"/>
  <c r="G248" i="4"/>
  <c r="G249" i="4" s="1"/>
  <c r="D80" i="1" s="1"/>
  <c r="F248" i="4"/>
  <c r="F249" i="4" s="1"/>
  <c r="C80" i="1" s="1"/>
  <c r="E248" i="4"/>
  <c r="E249" i="4" s="1"/>
  <c r="AJ247" i="4"/>
  <c r="AJ246" i="4"/>
  <c r="C244" i="4"/>
  <c r="G243" i="4"/>
  <c r="AJ242" i="4"/>
  <c r="X242" i="4"/>
  <c r="R242" i="4"/>
  <c r="AJ241" i="4"/>
  <c r="AK242" i="4" s="1"/>
  <c r="AD241" i="4"/>
  <c r="Q241" i="4"/>
  <c r="O241" i="4"/>
  <c r="N241" i="4"/>
  <c r="K241" i="4"/>
  <c r="E241" i="4"/>
  <c r="AK240" i="4"/>
  <c r="E15" i="1" s="1"/>
  <c r="AJ240" i="4"/>
  <c r="X240" i="4"/>
  <c r="R240" i="4"/>
  <c r="AK239" i="4"/>
  <c r="AJ239" i="4"/>
  <c r="AK238" i="4"/>
  <c r="AJ238" i="4"/>
  <c r="X238" i="4"/>
  <c r="R238" i="4"/>
  <c r="AK237" i="4"/>
  <c r="Q11" i="1" s="1"/>
  <c r="AJ237" i="4"/>
  <c r="AK236" i="4"/>
  <c r="Q10" i="1" s="1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AK235" i="4"/>
  <c r="D9" i="1" s="1"/>
  <c r="C42" i="22" s="1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AK234" i="4"/>
  <c r="AJ234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AK232" i="4"/>
  <c r="D8" i="1" s="1"/>
  <c r="C41" i="22" s="1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F232" i="4"/>
  <c r="E232" i="4"/>
  <c r="AK231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Q231" i="4" s="1"/>
  <c r="P230" i="4"/>
  <c r="P231" i="4" s="1"/>
  <c r="O230" i="4"/>
  <c r="N230" i="4"/>
  <c r="M230" i="4"/>
  <c r="L230" i="4"/>
  <c r="K230" i="4"/>
  <c r="J230" i="4"/>
  <c r="I230" i="4"/>
  <c r="H230" i="4"/>
  <c r="G230" i="4"/>
  <c r="F230" i="4"/>
  <c r="E230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N229" i="4"/>
  <c r="M229" i="4"/>
  <c r="L229" i="4"/>
  <c r="K229" i="4"/>
  <c r="J229" i="4"/>
  <c r="I229" i="4"/>
  <c r="G229" i="4"/>
  <c r="F229" i="4"/>
  <c r="E229" i="4"/>
  <c r="C227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AM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AK214" i="4"/>
  <c r="AK213" i="4"/>
  <c r="AK210" i="4"/>
  <c r="AK209" i="4"/>
  <c r="AK208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O201" i="4"/>
  <c r="N201" i="4"/>
  <c r="M201" i="4"/>
  <c r="L201" i="4"/>
  <c r="K201" i="4"/>
  <c r="J201" i="4"/>
  <c r="H201" i="4"/>
  <c r="G201" i="4"/>
  <c r="F201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AM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AK196" i="4"/>
  <c r="AK195" i="4"/>
  <c r="AM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AK192" i="4"/>
  <c r="AK191" i="4"/>
  <c r="AK190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O187" i="4"/>
  <c r="N187" i="4"/>
  <c r="M187" i="4"/>
  <c r="L187" i="4"/>
  <c r="K187" i="4"/>
  <c r="J187" i="4"/>
  <c r="H187" i="4"/>
  <c r="G187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AK183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AK180" i="4"/>
  <c r="AK179" i="4"/>
  <c r="AK178" i="4"/>
  <c r="AK176" i="4"/>
  <c r="AK175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D172" i="4"/>
  <c r="C171" i="4"/>
  <c r="AK168" i="4"/>
  <c r="AK167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O165" i="4"/>
  <c r="N165" i="4"/>
  <c r="M165" i="4"/>
  <c r="L165" i="4"/>
  <c r="K165" i="4"/>
  <c r="J165" i="4"/>
  <c r="H165" i="4"/>
  <c r="G165" i="4"/>
  <c r="F165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C161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R187" i="4" s="1"/>
  <c r="R201" i="4" s="1"/>
  <c r="Q157" i="4"/>
  <c r="Q187" i="4" s="1"/>
  <c r="Q201" i="4" s="1"/>
  <c r="O157" i="4"/>
  <c r="N157" i="4"/>
  <c r="M157" i="4"/>
  <c r="L157" i="4"/>
  <c r="K157" i="4"/>
  <c r="J157" i="4"/>
  <c r="H157" i="4"/>
  <c r="G157" i="4"/>
  <c r="F157" i="4"/>
  <c r="AL156" i="4"/>
  <c r="AK156" i="4"/>
  <c r="AL155" i="4"/>
  <c r="AK155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AL153" i="4"/>
  <c r="AL152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AL150" i="4"/>
  <c r="AL149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AL147" i="4"/>
  <c r="AL146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AL144" i="4"/>
  <c r="AL143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AL141" i="4"/>
  <c r="AL140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AL138" i="4"/>
  <c r="AL137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AL135" i="4"/>
  <c r="AL134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AL132" i="4"/>
  <c r="AL131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AL126" i="4"/>
  <c r="AL125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AL123" i="4"/>
  <c r="AL122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AL120" i="4"/>
  <c r="AL119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AL114" i="4"/>
  <c r="AL113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AL111" i="4"/>
  <c r="AL110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AL108" i="4"/>
  <c r="AL107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AL105" i="4"/>
  <c r="AL104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AL102" i="4"/>
  <c r="AL101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AL99" i="4"/>
  <c r="AL98" i="4"/>
  <c r="AL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AK97" i="4" s="1"/>
  <c r="AM97" i="4" s="1"/>
  <c r="O97" i="4"/>
  <c r="N97" i="4"/>
  <c r="M97" i="4"/>
  <c r="L97" i="4"/>
  <c r="K97" i="4"/>
  <c r="J97" i="4"/>
  <c r="I97" i="4"/>
  <c r="H97" i="4"/>
  <c r="G97" i="4"/>
  <c r="F97" i="4"/>
  <c r="AL96" i="4"/>
  <c r="AL95" i="4"/>
  <c r="AL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P94" i="4"/>
  <c r="P165" i="4" s="1"/>
  <c r="O94" i="4"/>
  <c r="N94" i="4"/>
  <c r="M94" i="4"/>
  <c r="L94" i="4"/>
  <c r="K94" i="4"/>
  <c r="J94" i="4"/>
  <c r="I94" i="4"/>
  <c r="I165" i="4" s="1"/>
  <c r="H94" i="4"/>
  <c r="G94" i="4"/>
  <c r="F94" i="4"/>
  <c r="AL93" i="4"/>
  <c r="AK93" i="4"/>
  <c r="AL92" i="4"/>
  <c r="AK92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AL90" i="4"/>
  <c r="AK90" i="4"/>
  <c r="AL89" i="4"/>
  <c r="AK89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AL87" i="4"/>
  <c r="AK87" i="4"/>
  <c r="AL86" i="4"/>
  <c r="AK86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AL84" i="4"/>
  <c r="AK84" i="4"/>
  <c r="AL83" i="4"/>
  <c r="AK83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AL81" i="4"/>
  <c r="AK81" i="4"/>
  <c r="AL80" i="4"/>
  <c r="AK80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AL78" i="4"/>
  <c r="AK78" i="4"/>
  <c r="AL77" i="4"/>
  <c r="AK77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AL75" i="4"/>
  <c r="AK75" i="4"/>
  <c r="AL74" i="4"/>
  <c r="AK74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AL72" i="4"/>
  <c r="AK72" i="4"/>
  <c r="AL71" i="4"/>
  <c r="AK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AL69" i="4"/>
  <c r="AK69" i="4"/>
  <c r="AL68" i="4"/>
  <c r="AK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Q67" i="4"/>
  <c r="P67" i="4"/>
  <c r="O67" i="4"/>
  <c r="N67" i="4"/>
  <c r="M67" i="4"/>
  <c r="L67" i="4"/>
  <c r="K67" i="4"/>
  <c r="J67" i="4"/>
  <c r="I67" i="4"/>
  <c r="H67" i="4"/>
  <c r="G67" i="4"/>
  <c r="F67" i="4"/>
  <c r="C67" i="4"/>
  <c r="E66" i="4"/>
  <c r="C66" i="4"/>
  <c r="C65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R59" i="4"/>
  <c r="Q59" i="4"/>
  <c r="P59" i="4"/>
  <c r="O59" i="4"/>
  <c r="N59" i="4"/>
  <c r="M59" i="4"/>
  <c r="L59" i="4"/>
  <c r="K59" i="4"/>
  <c r="J59" i="4"/>
  <c r="I59" i="4"/>
  <c r="H59" i="4"/>
  <c r="AK56" i="4"/>
  <c r="E55" i="4"/>
  <c r="AT48" i="4"/>
  <c r="AL44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AL30" i="4"/>
  <c r="AL28" i="4"/>
  <c r="AL27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AK25" i="4"/>
  <c r="AL24" i="4"/>
  <c r="AK24" i="4"/>
  <c r="AL23" i="4"/>
  <c r="AK23" i="4"/>
  <c r="AL22" i="4"/>
  <c r="AK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AL20" i="4"/>
  <c r="AK20" i="4"/>
  <c r="AK19" i="4"/>
  <c r="AL18" i="4"/>
  <c r="AK18" i="4"/>
  <c r="AL17" i="4"/>
  <c r="AK17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AL15" i="4"/>
  <c r="AK15" i="4"/>
  <c r="AK14" i="4"/>
  <c r="AL13" i="4"/>
  <c r="AK13" i="4"/>
  <c r="AL12" i="4"/>
  <c r="AK12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F11" i="4"/>
  <c r="AL10" i="4"/>
  <c r="AK10" i="4"/>
  <c r="AL9" i="4"/>
  <c r="AK9" i="4"/>
  <c r="AL8" i="4"/>
  <c r="AK8" i="4"/>
  <c r="AJR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F7" i="4"/>
  <c r="AL6" i="4"/>
  <c r="AK6" i="4"/>
  <c r="AL5" i="4"/>
  <c r="AK5" i="4"/>
  <c r="AL4" i="4"/>
  <c r="AK4" i="4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L84" i="1"/>
  <c r="K84" i="1"/>
  <c r="J84" i="1"/>
  <c r="I84" i="1"/>
  <c r="H84" i="1"/>
  <c r="G84" i="1"/>
  <c r="F84" i="1"/>
  <c r="E84" i="1"/>
  <c r="D84" i="1"/>
  <c r="C84" i="1"/>
  <c r="B84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L83" i="1"/>
  <c r="K83" i="1"/>
  <c r="J83" i="1"/>
  <c r="I83" i="1"/>
  <c r="H83" i="1"/>
  <c r="G83" i="1"/>
  <c r="F83" i="1"/>
  <c r="E83" i="1"/>
  <c r="D83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L79" i="1"/>
  <c r="K79" i="1"/>
  <c r="J79" i="1"/>
  <c r="I79" i="1"/>
  <c r="H79" i="1"/>
  <c r="G79" i="1"/>
  <c r="F79" i="1"/>
  <c r="E79" i="1"/>
  <c r="D79" i="1"/>
  <c r="C79" i="1"/>
  <c r="B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L78" i="1"/>
  <c r="K78" i="1"/>
  <c r="J78" i="1"/>
  <c r="I78" i="1"/>
  <c r="H78" i="1"/>
  <c r="G78" i="1"/>
  <c r="F78" i="1"/>
  <c r="E78" i="1"/>
  <c r="D78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L70" i="1"/>
  <c r="K70" i="1"/>
  <c r="J70" i="1"/>
  <c r="I70" i="1"/>
  <c r="H70" i="1"/>
  <c r="G70" i="1"/>
  <c r="F70" i="1"/>
  <c r="E70" i="1"/>
  <c r="D70" i="1"/>
  <c r="C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L69" i="1"/>
  <c r="K69" i="1"/>
  <c r="J69" i="1"/>
  <c r="I69" i="1"/>
  <c r="H69" i="1"/>
  <c r="G69" i="1"/>
  <c r="F69" i="1"/>
  <c r="E69" i="1"/>
  <c r="D69" i="1"/>
  <c r="C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L68" i="1"/>
  <c r="K68" i="1"/>
  <c r="J68" i="1"/>
  <c r="I68" i="1"/>
  <c r="H68" i="1"/>
  <c r="G68" i="1"/>
  <c r="F68" i="1"/>
  <c r="E68" i="1"/>
  <c r="D68" i="1"/>
  <c r="C68" i="1"/>
  <c r="W15" i="1"/>
  <c r="V15" i="1"/>
  <c r="R15" i="1"/>
  <c r="W13" i="1"/>
  <c r="W12" i="1"/>
  <c r="W11" i="1"/>
  <c r="X11" i="1" s="1"/>
  <c r="V11" i="1"/>
  <c r="W10" i="1"/>
  <c r="V10" i="1"/>
  <c r="W9" i="1"/>
  <c r="Q9" i="1"/>
  <c r="E9" i="1"/>
  <c r="W8" i="1"/>
  <c r="Q8" i="1"/>
  <c r="E8" i="1"/>
  <c r="W7" i="1"/>
  <c r="V7" i="1"/>
  <c r="W4" i="1"/>
  <c r="W3" i="1"/>
  <c r="U3" i="1"/>
  <c r="T3" i="1"/>
  <c r="S3" i="1"/>
  <c r="I3" i="1"/>
  <c r="E2" i="1"/>
  <c r="F13" i="1" s="1"/>
  <c r="R13" i="1" s="1"/>
  <c r="H48" i="31"/>
  <c r="H20" i="31"/>
  <c r="H18" i="31"/>
  <c r="H7" i="31"/>
  <c r="F7" i="31" s="1"/>
  <c r="Q229" i="4" l="1"/>
  <c r="P229" i="4"/>
  <c r="AK230" i="4"/>
  <c r="O231" i="4"/>
  <c r="H229" i="4"/>
  <c r="H231" i="4"/>
  <c r="AK159" i="4"/>
  <c r="E7" i="1"/>
  <c r="H22" i="31" s="1"/>
  <c r="Q372" i="4"/>
  <c r="Q373" i="4" s="1"/>
  <c r="Q368" i="4"/>
  <c r="Q369" i="4" s="1"/>
  <c r="O229" i="4"/>
  <c r="AK229" i="4" s="1"/>
  <c r="AL85" i="4"/>
  <c r="AL157" i="4" s="1"/>
  <c r="AJ230" i="4"/>
  <c r="P157" i="4"/>
  <c r="AJ229" i="4"/>
  <c r="AK94" i="4"/>
  <c r="I157" i="4"/>
  <c r="P376" i="4"/>
  <c r="P377" i="4" s="1"/>
  <c r="P372" i="4"/>
  <c r="P373" i="4" s="1"/>
  <c r="P368" i="4"/>
  <c r="P369" i="4" s="1"/>
  <c r="R282" i="29"/>
  <c r="R290" i="29"/>
  <c r="R289" i="29"/>
  <c r="R286" i="29"/>
  <c r="R287" i="29"/>
  <c r="R288" i="29"/>
  <c r="R292" i="29"/>
  <c r="R284" i="29"/>
  <c r="R285" i="29"/>
  <c r="R291" i="29"/>
  <c r="R283" i="29"/>
  <c r="P5" i="25"/>
  <c r="Q5" i="25" s="1"/>
  <c r="P3" i="25"/>
  <c r="Q3" i="25" s="1"/>
  <c r="R378" i="4"/>
  <c r="X15" i="1"/>
  <c r="AS9" i="31"/>
  <c r="AT9" i="31" s="1"/>
  <c r="R281" i="29"/>
  <c r="R280" i="29"/>
  <c r="R274" i="29"/>
  <c r="R272" i="29"/>
  <c r="R276" i="29"/>
  <c r="R275" i="29"/>
  <c r="R273" i="29"/>
  <c r="R279" i="29"/>
  <c r="R278" i="29"/>
  <c r="R277" i="29"/>
  <c r="O372" i="4"/>
  <c r="O373" i="4" s="1"/>
  <c r="O368" i="4"/>
  <c r="O369" i="4" s="1"/>
  <c r="R47" i="6"/>
  <c r="M376" i="4"/>
  <c r="M377" i="4" s="1"/>
  <c r="X8" i="1"/>
  <c r="V366" i="4"/>
  <c r="R46" i="6"/>
  <c r="K368" i="4"/>
  <c r="K369" i="4" s="1"/>
  <c r="M368" i="4"/>
  <c r="M369" i="4" s="1"/>
  <c r="V370" i="4"/>
  <c r="L376" i="4"/>
  <c r="L377" i="4" s="1"/>
  <c r="N376" i="4"/>
  <c r="N377" i="4" s="1"/>
  <c r="K372" i="4"/>
  <c r="K373" i="4" s="1"/>
  <c r="R261" i="29"/>
  <c r="R263" i="29"/>
  <c r="R262" i="29"/>
  <c r="R260" i="29"/>
  <c r="R271" i="29"/>
  <c r="R265" i="29"/>
  <c r="R269" i="29"/>
  <c r="R266" i="29"/>
  <c r="R270" i="29"/>
  <c r="R268" i="29"/>
  <c r="R264" i="29"/>
  <c r="R267" i="29"/>
  <c r="R253" i="29"/>
  <c r="R258" i="29"/>
  <c r="R259" i="29"/>
  <c r="R251" i="29"/>
  <c r="R257" i="29"/>
  <c r="R256" i="29"/>
  <c r="R250" i="29"/>
  <c r="R254" i="29"/>
  <c r="R252" i="29"/>
  <c r="R255" i="29"/>
  <c r="R242" i="29"/>
  <c r="R247" i="29"/>
  <c r="R249" i="29"/>
  <c r="R239" i="29"/>
  <c r="R240" i="29"/>
  <c r="R241" i="29"/>
  <c r="R243" i="29"/>
  <c r="R248" i="29"/>
  <c r="R244" i="29"/>
  <c r="R238" i="29"/>
  <c r="R246" i="29"/>
  <c r="R245" i="29"/>
  <c r="R236" i="29"/>
  <c r="R228" i="29"/>
  <c r="R235" i="29"/>
  <c r="R232" i="29"/>
  <c r="R233" i="29"/>
  <c r="R234" i="29"/>
  <c r="R229" i="29"/>
  <c r="R231" i="29"/>
  <c r="R227" i="29"/>
  <c r="R237" i="29"/>
  <c r="R230" i="29"/>
  <c r="R220" i="29"/>
  <c r="R226" i="29"/>
  <c r="R215" i="29"/>
  <c r="R216" i="29"/>
  <c r="R217" i="29"/>
  <c r="R218" i="29"/>
  <c r="R222" i="29"/>
  <c r="R221" i="29"/>
  <c r="R224" i="29"/>
  <c r="R219" i="29"/>
  <c r="R225" i="29"/>
  <c r="R223" i="29"/>
  <c r="R208" i="29"/>
  <c r="R209" i="29"/>
  <c r="R210" i="29"/>
  <c r="R212" i="29"/>
  <c r="R211" i="29"/>
  <c r="R206" i="29"/>
  <c r="R205" i="29"/>
  <c r="R214" i="29"/>
  <c r="R213" i="29"/>
  <c r="R207" i="29"/>
  <c r="R204" i="29"/>
  <c r="R203" i="29"/>
  <c r="R202" i="29"/>
  <c r="R194" i="29"/>
  <c r="R192" i="29"/>
  <c r="R191" i="29"/>
  <c r="R193" i="29"/>
  <c r="R201" i="29"/>
  <c r="R199" i="29"/>
  <c r="R200" i="29"/>
  <c r="R196" i="29"/>
  <c r="R195" i="29"/>
  <c r="R197" i="29"/>
  <c r="R198" i="29"/>
  <c r="R190" i="29"/>
  <c r="R178" i="29"/>
  <c r="R182" i="29"/>
  <c r="R179" i="29"/>
  <c r="R180" i="29"/>
  <c r="R183" i="29"/>
  <c r="R189" i="29"/>
  <c r="R181" i="29"/>
  <c r="R188" i="29"/>
  <c r="R187" i="29"/>
  <c r="R186" i="29"/>
  <c r="R185" i="29"/>
  <c r="R184" i="29"/>
  <c r="R177" i="29"/>
  <c r="R168" i="29"/>
  <c r="R175" i="29"/>
  <c r="R174" i="29"/>
  <c r="R167" i="29"/>
  <c r="R166" i="29"/>
  <c r="R165" i="29"/>
  <c r="R172" i="29"/>
  <c r="R171" i="29"/>
  <c r="R176" i="29"/>
  <c r="R170" i="29"/>
  <c r="R173" i="29"/>
  <c r="R164" i="29"/>
  <c r="R169" i="29"/>
  <c r="R156" i="29"/>
  <c r="R159" i="29"/>
  <c r="R154" i="29"/>
  <c r="R155" i="29"/>
  <c r="R152" i="29"/>
  <c r="R153" i="29"/>
  <c r="R163" i="29"/>
  <c r="R160" i="29"/>
  <c r="R158" i="29"/>
  <c r="R162" i="29"/>
  <c r="R161" i="29"/>
  <c r="R157" i="29"/>
  <c r="R149" i="29"/>
  <c r="R150" i="29"/>
  <c r="R151" i="29"/>
  <c r="R142" i="29"/>
  <c r="R143" i="29"/>
  <c r="R146" i="29"/>
  <c r="R140" i="29"/>
  <c r="R144" i="29"/>
  <c r="R147" i="29"/>
  <c r="R145" i="29"/>
  <c r="R141" i="29"/>
  <c r="R148" i="29"/>
  <c r="R127" i="29"/>
  <c r="R128" i="29"/>
  <c r="R129" i="29"/>
  <c r="R135" i="29"/>
  <c r="R136" i="29"/>
  <c r="R137" i="29"/>
  <c r="R139" i="29"/>
  <c r="R131" i="29"/>
  <c r="R130" i="29"/>
  <c r="R134" i="29"/>
  <c r="R132" i="29"/>
  <c r="R133" i="29"/>
  <c r="R138" i="29"/>
  <c r="R126" i="29"/>
  <c r="V6" i="29"/>
  <c r="X13" i="1"/>
  <c r="R125" i="29"/>
  <c r="R122" i="29"/>
  <c r="R123" i="29"/>
  <c r="R124" i="29"/>
  <c r="AG51" i="4"/>
  <c r="AG49" i="4"/>
  <c r="AG48" i="4"/>
  <c r="AG42" i="4"/>
  <c r="V51" i="4"/>
  <c r="V49" i="4"/>
  <c r="T2" i="29"/>
  <c r="S48" i="4"/>
  <c r="S57" i="4"/>
  <c r="S59" i="4" s="1"/>
  <c r="AA2" i="29"/>
  <c r="AB49" i="4"/>
  <c r="AB48" i="4"/>
  <c r="AD50" i="4"/>
  <c r="AD48" i="4"/>
  <c r="AD42" i="4"/>
  <c r="AD51" i="4"/>
  <c r="F5" i="1"/>
  <c r="N5" i="1" s="1"/>
  <c r="P35" i="30"/>
  <c r="S2" i="30"/>
  <c r="N35" i="30"/>
  <c r="M372" i="4"/>
  <c r="M373" i="4" s="1"/>
  <c r="V5" i="29"/>
  <c r="V4" i="29"/>
  <c r="V3" i="29"/>
  <c r="X7" i="1"/>
  <c r="H3" i="25"/>
  <c r="I3" i="25" s="1"/>
  <c r="W5" i="1"/>
  <c r="W6" i="1" s="1"/>
  <c r="J376" i="4"/>
  <c r="J377" i="4" s="1"/>
  <c r="U378" i="4"/>
  <c r="X12" i="1"/>
  <c r="V374" i="4"/>
  <c r="O376" i="4"/>
  <c r="O377" i="4" s="1"/>
  <c r="Q376" i="4"/>
  <c r="Q377" i="4" s="1"/>
  <c r="X4" i="1"/>
  <c r="J368" i="4"/>
  <c r="J369" i="4" s="1"/>
  <c r="R372" i="4"/>
  <c r="R373" i="4" s="1"/>
  <c r="T376" i="4"/>
  <c r="T377" i="4" s="1"/>
  <c r="X14" i="1"/>
  <c r="X9" i="1"/>
  <c r="AS10" i="31"/>
  <c r="AT10" i="31" s="1"/>
  <c r="X10" i="1"/>
  <c r="K377" i="4"/>
  <c r="V375" i="4"/>
  <c r="V371" i="4"/>
  <c r="H9" i="25"/>
  <c r="I9" i="25" s="1"/>
  <c r="H7" i="25"/>
  <c r="J7" i="25" s="1"/>
  <c r="H6" i="25"/>
  <c r="J6" i="25" s="1"/>
  <c r="T10" i="1"/>
  <c r="U10" i="1" s="1"/>
  <c r="H13" i="1"/>
  <c r="O13" i="1" s="1"/>
  <c r="J13" i="1"/>
  <c r="N30" i="31" s="1"/>
  <c r="F8" i="1"/>
  <c r="N8" i="1" s="1"/>
  <c r="R118" i="29"/>
  <c r="R119" i="29"/>
  <c r="R120" i="29"/>
  <c r="R121" i="29"/>
  <c r="R114" i="29"/>
  <c r="R117" i="29"/>
  <c r="R112" i="29"/>
  <c r="R113" i="29"/>
  <c r="R116" i="29"/>
  <c r="R115" i="29"/>
  <c r="J15" i="25"/>
  <c r="I15" i="25"/>
  <c r="R108" i="29"/>
  <c r="R109" i="29"/>
  <c r="R110" i="29"/>
  <c r="R111" i="29"/>
  <c r="R106" i="29"/>
  <c r="R107" i="29"/>
  <c r="I14" i="25"/>
  <c r="J14" i="25"/>
  <c r="H13" i="25"/>
  <c r="J13" i="25" s="1"/>
  <c r="H11" i="25"/>
  <c r="I11" i="25" s="1"/>
  <c r="R103" i="29"/>
  <c r="R101" i="29"/>
  <c r="R102" i="29"/>
  <c r="R104" i="29"/>
  <c r="R105" i="29"/>
  <c r="R99" i="29"/>
  <c r="R100" i="29"/>
  <c r="R98" i="29"/>
  <c r="R95" i="29"/>
  <c r="R97" i="29"/>
  <c r="R96" i="29"/>
  <c r="R88" i="29"/>
  <c r="R92" i="29"/>
  <c r="R89" i="29"/>
  <c r="R93" i="29"/>
  <c r="R94" i="29"/>
  <c r="R91" i="29"/>
  <c r="R90" i="29"/>
  <c r="R83" i="29"/>
  <c r="R85" i="29"/>
  <c r="R82" i="29"/>
  <c r="R81" i="29"/>
  <c r="R84" i="29"/>
  <c r="R87" i="29"/>
  <c r="R86" i="29"/>
  <c r="R74" i="29"/>
  <c r="R79" i="29"/>
  <c r="R75" i="29"/>
  <c r="R77" i="29"/>
  <c r="R78" i="29"/>
  <c r="R80" i="29"/>
  <c r="R76" i="29"/>
  <c r="R70" i="29"/>
  <c r="R71" i="29"/>
  <c r="R72" i="29"/>
  <c r="R73" i="29"/>
  <c r="R69" i="29"/>
  <c r="R65" i="29"/>
  <c r="R66" i="29"/>
  <c r="R67" i="29"/>
  <c r="R68" i="29"/>
  <c r="R64" i="29"/>
  <c r="H5" i="25"/>
  <c r="I5" i="25" s="1"/>
  <c r="R60" i="29"/>
  <c r="R61" i="29"/>
  <c r="R62" i="29"/>
  <c r="R63" i="29"/>
  <c r="R59" i="29"/>
  <c r="R56" i="29"/>
  <c r="R58" i="29"/>
  <c r="R57" i="29"/>
  <c r="H4" i="25"/>
  <c r="I4" i="25" s="1"/>
  <c r="R53" i="29"/>
  <c r="R54" i="29"/>
  <c r="R52" i="29"/>
  <c r="R50" i="29"/>
  <c r="R51" i="29"/>
  <c r="R55" i="29"/>
  <c r="O3" i="29"/>
  <c r="R46" i="29"/>
  <c r="R44" i="29"/>
  <c r="R45" i="29"/>
  <c r="R49" i="29"/>
  <c r="R47" i="29"/>
  <c r="R48" i="29"/>
  <c r="R38" i="29"/>
  <c r="R41" i="29"/>
  <c r="R42" i="29"/>
  <c r="R43" i="29"/>
  <c r="R40" i="29"/>
  <c r="R39" i="29"/>
  <c r="R37" i="29"/>
  <c r="R36" i="29"/>
  <c r="R35" i="29"/>
  <c r="R20" i="5"/>
  <c r="V6" i="1"/>
  <c r="R6" i="5"/>
  <c r="R26" i="29"/>
  <c r="R27" i="29"/>
  <c r="R24" i="29"/>
  <c r="R25" i="29"/>
  <c r="R28" i="29"/>
  <c r="R34" i="29"/>
  <c r="R33" i="29"/>
  <c r="R32" i="29"/>
  <c r="R31" i="29"/>
  <c r="R29" i="29"/>
  <c r="R30" i="29"/>
  <c r="R20" i="29"/>
  <c r="R21" i="29"/>
  <c r="R23" i="29"/>
  <c r="R22" i="29"/>
  <c r="R15" i="29"/>
  <c r="R16" i="29"/>
  <c r="R17" i="29"/>
  <c r="R18" i="29"/>
  <c r="R19" i="29"/>
  <c r="T4" i="29"/>
  <c r="T5" i="29"/>
  <c r="T3" i="29"/>
  <c r="T6" i="29"/>
  <c r="H2" i="25"/>
  <c r="J2" i="25" s="1"/>
  <c r="R3" i="29"/>
  <c r="R8" i="29"/>
  <c r="R10" i="29"/>
  <c r="R13" i="29"/>
  <c r="R7" i="29"/>
  <c r="R14" i="29"/>
  <c r="R9" i="29"/>
  <c r="R12" i="29"/>
  <c r="R11" i="29"/>
  <c r="X6" i="29"/>
  <c r="X5" i="29"/>
  <c r="X4" i="29"/>
  <c r="R6" i="29"/>
  <c r="R5" i="29"/>
  <c r="R4" i="29"/>
  <c r="V367" i="4"/>
  <c r="AQ3" i="29"/>
  <c r="AP4" i="29"/>
  <c r="H10" i="1"/>
  <c r="J4" i="1"/>
  <c r="R7" i="1"/>
  <c r="K10" i="1"/>
  <c r="J11" i="1"/>
  <c r="K12" i="1"/>
  <c r="H14" i="1"/>
  <c r="O14" i="1" s="1"/>
  <c r="K4" i="1"/>
  <c r="K11" i="1"/>
  <c r="L11" i="1" s="1"/>
  <c r="J14" i="1"/>
  <c r="N32" i="31" s="1"/>
  <c r="H5" i="1"/>
  <c r="F15" i="1"/>
  <c r="G15" i="1" s="1"/>
  <c r="K13" i="1"/>
  <c r="J7" i="1"/>
  <c r="N22" i="31" s="1"/>
  <c r="T13" i="1"/>
  <c r="F11" i="1"/>
  <c r="F4" i="1"/>
  <c r="H11" i="1"/>
  <c r="H12" i="1"/>
  <c r="O12" i="1" s="1"/>
  <c r="T15" i="1"/>
  <c r="H4" i="1"/>
  <c r="O4" i="1" s="1"/>
  <c r="J10" i="1"/>
  <c r="N24" i="31" s="1"/>
  <c r="F14" i="1"/>
  <c r="N14" i="1" s="1"/>
  <c r="T7" i="1"/>
  <c r="F9" i="1"/>
  <c r="N9" i="1" s="1"/>
  <c r="K14" i="1"/>
  <c r="T12" i="1"/>
  <c r="H9" i="1"/>
  <c r="J12" i="1"/>
  <c r="N28" i="31" s="1"/>
  <c r="J9" i="1"/>
  <c r="N20" i="31" s="1"/>
  <c r="T14" i="1"/>
  <c r="H7" i="1"/>
  <c r="T11" i="1"/>
  <c r="U11" i="1" s="1"/>
  <c r="J5" i="1"/>
  <c r="N14" i="31" s="1"/>
  <c r="H8" i="1"/>
  <c r="H15" i="1"/>
  <c r="I15" i="1" s="1"/>
  <c r="K5" i="1"/>
  <c r="J8" i="1"/>
  <c r="N18" i="31" s="1"/>
  <c r="J15" i="1"/>
  <c r="K7" i="1"/>
  <c r="K8" i="1"/>
  <c r="F10" i="1"/>
  <c r="K15" i="1"/>
  <c r="F12" i="1"/>
  <c r="J28" i="31" s="1"/>
  <c r="K9" i="1"/>
  <c r="R10" i="1"/>
  <c r="S10" i="1" s="1"/>
  <c r="F7" i="1"/>
  <c r="R11" i="1"/>
  <c r="S11" i="1" s="1"/>
  <c r="P9" i="25"/>
  <c r="Q9" i="25" s="1"/>
  <c r="P2" i="25"/>
  <c r="Q2" i="25" s="1"/>
  <c r="P6" i="25"/>
  <c r="Q6" i="25" s="1"/>
  <c r="H10" i="25"/>
  <c r="I10" i="25" s="1"/>
  <c r="P7" i="25"/>
  <c r="Q7" i="25" s="1"/>
  <c r="H8" i="25"/>
  <c r="P11" i="25"/>
  <c r="Q11" i="25" s="1"/>
  <c r="H12" i="25"/>
  <c r="J12" i="25" s="1"/>
  <c r="AL39" i="4"/>
  <c r="I7" i="17"/>
  <c r="T268" i="4"/>
  <c r="T269" i="4" s="1"/>
  <c r="U85" i="1" s="1"/>
  <c r="V268" i="4"/>
  <c r="V269" i="4" s="1"/>
  <c r="W85" i="1" s="1"/>
  <c r="F268" i="4"/>
  <c r="F269" i="4" s="1"/>
  <c r="C85" i="1" s="1"/>
  <c r="AL56" i="4" s="1"/>
  <c r="G268" i="4"/>
  <c r="G269" i="4" s="1"/>
  <c r="D85" i="1" s="1"/>
  <c r="W268" i="4"/>
  <c r="W269" i="4" s="1"/>
  <c r="X85" i="1" s="1"/>
  <c r="H268" i="4"/>
  <c r="H269" i="4" s="1"/>
  <c r="E85" i="1" s="1"/>
  <c r="X268" i="4"/>
  <c r="X269" i="4" s="1"/>
  <c r="Y85" i="1" s="1"/>
  <c r="N268" i="4"/>
  <c r="N269" i="4" s="1"/>
  <c r="K85" i="1" s="1"/>
  <c r="AD268" i="4"/>
  <c r="AD269" i="4" s="1"/>
  <c r="AE85" i="1" s="1"/>
  <c r="I268" i="4"/>
  <c r="I269" i="4" s="1"/>
  <c r="F85" i="1" s="1"/>
  <c r="Y268" i="4"/>
  <c r="Y269" i="4" s="1"/>
  <c r="Z85" i="1" s="1"/>
  <c r="B80" i="1"/>
  <c r="AJ249" i="4"/>
  <c r="E12" i="1" s="1"/>
  <c r="AK249" i="4"/>
  <c r="AJ250" i="4"/>
  <c r="D12" i="1" s="1"/>
  <c r="F28" i="31" s="1"/>
  <c r="B5" i="21" s="1"/>
  <c r="AF80" i="1"/>
  <c r="S268" i="4"/>
  <c r="S269" i="4" s="1"/>
  <c r="T85" i="1" s="1"/>
  <c r="T256" i="4"/>
  <c r="R8" i="17" s="1"/>
  <c r="R7" i="17" s="1"/>
  <c r="AA268" i="4"/>
  <c r="AA269" i="4" s="1"/>
  <c r="AB85" i="1" s="1"/>
  <c r="AJ262" i="4"/>
  <c r="K268" i="4"/>
  <c r="K269" i="4" s="1"/>
  <c r="H85" i="1" s="1"/>
  <c r="AJ248" i="4"/>
  <c r="L268" i="4"/>
  <c r="L269" i="4" s="1"/>
  <c r="I85" i="1" s="1"/>
  <c r="M268" i="4"/>
  <c r="M269" i="4" s="1"/>
  <c r="J85" i="1" s="1"/>
  <c r="R268" i="4"/>
  <c r="R269" i="4" s="1"/>
  <c r="S85" i="1" s="1"/>
  <c r="AE268" i="4"/>
  <c r="AE269" i="4" s="1"/>
  <c r="AF85" i="1" s="1"/>
  <c r="AB268" i="4"/>
  <c r="AB269" i="4" s="1"/>
  <c r="AC85" i="1" s="1"/>
  <c r="AC268" i="4"/>
  <c r="AC269" i="4" s="1"/>
  <c r="AD85" i="1" s="1"/>
  <c r="AH268" i="4"/>
  <c r="AH269" i="4" s="1"/>
  <c r="AI85" i="1" s="1"/>
  <c r="AI268" i="4"/>
  <c r="AI269" i="4" s="1"/>
  <c r="AJ85" i="1" s="1"/>
  <c r="Z268" i="4"/>
  <c r="Z269" i="4" s="1"/>
  <c r="AA85" i="1" s="1"/>
  <c r="N263" i="4"/>
  <c r="L9" i="17" s="1"/>
  <c r="L7" i="17" s="1"/>
  <c r="AD263" i="4"/>
  <c r="AB9" i="17" s="1"/>
  <c r="AB7" i="17" s="1"/>
  <c r="I6" i="17"/>
  <c r="O268" i="4"/>
  <c r="O269" i="4" s="1"/>
  <c r="L85" i="1" s="1"/>
  <c r="J268" i="4"/>
  <c r="J269" i="4" s="1"/>
  <c r="G85" i="1" s="1"/>
  <c r="AE263" i="4"/>
  <c r="AC9" i="17" s="1"/>
  <c r="AC6" i="17" s="1"/>
  <c r="N7" i="17"/>
  <c r="N6" i="17"/>
  <c r="AD7" i="17"/>
  <c r="AD6" i="17"/>
  <c r="Y7" i="17"/>
  <c r="Y6" i="17"/>
  <c r="P7" i="17"/>
  <c r="P6" i="17"/>
  <c r="Q7" i="17"/>
  <c r="Q6" i="17"/>
  <c r="AG7" i="17"/>
  <c r="AG6" i="17"/>
  <c r="AJ255" i="4"/>
  <c r="E268" i="4"/>
  <c r="U268" i="4"/>
  <c r="U269" i="4" s="1"/>
  <c r="V85" i="1" s="1"/>
  <c r="E256" i="4"/>
  <c r="AE7" i="17"/>
  <c r="AE6" i="17"/>
  <c r="C9" i="17"/>
  <c r="AF6" i="17"/>
  <c r="AF7" i="17"/>
  <c r="F256" i="4"/>
  <c r="V256" i="4"/>
  <c r="T8" i="17" s="1"/>
  <c r="J7" i="17"/>
  <c r="J6" i="17"/>
  <c r="Z7" i="17"/>
  <c r="Z6" i="17"/>
  <c r="O7" i="17"/>
  <c r="O6" i="17"/>
  <c r="K7" i="17"/>
  <c r="K6" i="17"/>
  <c r="AA7" i="17"/>
  <c r="AA6" i="17"/>
  <c r="M7" i="17"/>
  <c r="M6" i="17"/>
  <c r="S7" i="17"/>
  <c r="S6" i="17"/>
  <c r="G256" i="4"/>
  <c r="E8" i="17" s="1"/>
  <c r="W256" i="4"/>
  <c r="U8" i="17" s="1"/>
  <c r="H256" i="4"/>
  <c r="F8" i="17" s="1"/>
  <c r="X256" i="4"/>
  <c r="V8" i="17" s="1"/>
  <c r="I256" i="4"/>
  <c r="G8" i="17" s="1"/>
  <c r="Y256" i="4"/>
  <c r="W8" i="17" s="1"/>
  <c r="P268" i="4"/>
  <c r="P269" i="4" s="1"/>
  <c r="Q85" i="1" s="1"/>
  <c r="AF268" i="4"/>
  <c r="AF269" i="4" s="1"/>
  <c r="AG85" i="1" s="1"/>
  <c r="J256" i="4"/>
  <c r="H8" i="17" s="1"/>
  <c r="Z256" i="4"/>
  <c r="X8" i="17" s="1"/>
  <c r="Q268" i="4"/>
  <c r="Q269" i="4" s="1"/>
  <c r="R85" i="1" s="1"/>
  <c r="AG268" i="4"/>
  <c r="AG269" i="4" s="1"/>
  <c r="AH85" i="1" s="1"/>
  <c r="V204" i="4"/>
  <c r="V206" i="4" s="1"/>
  <c r="M7" i="1"/>
  <c r="AL42" i="4"/>
  <c r="AL47" i="4"/>
  <c r="AL46" i="4"/>
  <c r="H47" i="4"/>
  <c r="G353" i="4" s="1"/>
  <c r="AB47" i="4"/>
  <c r="D15" i="1"/>
  <c r="AJ51" i="4"/>
  <c r="T36" i="4"/>
  <c r="S347" i="4" s="1"/>
  <c r="S355" i="4" s="1"/>
  <c r="AJ204" i="4"/>
  <c r="AJ206" i="4" s="1"/>
  <c r="G58" i="4"/>
  <c r="L47" i="4"/>
  <c r="K353" i="4" s="1"/>
  <c r="AJ50" i="4"/>
  <c r="S36" i="4"/>
  <c r="R347" i="4" s="1"/>
  <c r="R355" i="4" s="1"/>
  <c r="F58" i="4"/>
  <c r="V36" i="4"/>
  <c r="U347" i="4" s="1"/>
  <c r="U355" i="4" s="1"/>
  <c r="G51" i="4"/>
  <c r="G47" i="4"/>
  <c r="F353" i="4" s="1"/>
  <c r="F51" i="4"/>
  <c r="G57" i="4"/>
  <c r="F50" i="4"/>
  <c r="Y204" i="4"/>
  <c r="Y206" i="4" s="1"/>
  <c r="P42" i="4"/>
  <c r="AE31" i="4"/>
  <c r="AE186" i="4" s="1"/>
  <c r="AE200" i="4" s="1"/>
  <c r="AE202" i="4" s="1"/>
  <c r="U36" i="4"/>
  <c r="T347" i="4" s="1"/>
  <c r="T355" i="4" s="1"/>
  <c r="F48" i="4"/>
  <c r="AL38" i="4"/>
  <c r="AL41" i="4"/>
  <c r="F57" i="4"/>
  <c r="F49" i="4"/>
  <c r="K48" i="4"/>
  <c r="L51" i="4"/>
  <c r="O2" i="29"/>
  <c r="X2" i="29"/>
  <c r="S47" i="4"/>
  <c r="AC47" i="4"/>
  <c r="K31" i="4"/>
  <c r="K186" i="4" s="1"/>
  <c r="K200" i="4" s="1"/>
  <c r="K202" i="4" s="1"/>
  <c r="U47" i="4"/>
  <c r="V47" i="4"/>
  <c r="Z204" i="4"/>
  <c r="Z206" i="4" s="1"/>
  <c r="M47" i="4"/>
  <c r="L353" i="4" s="1"/>
  <c r="I42" i="4"/>
  <c r="AI47" i="4"/>
  <c r="G50" i="4"/>
  <c r="H51" i="4"/>
  <c r="H42" i="4"/>
  <c r="Y36" i="4"/>
  <c r="X347" i="4" s="1"/>
  <c r="X355" i="4" s="1"/>
  <c r="K42" i="4"/>
  <c r="AH51" i="4"/>
  <c r="G49" i="4"/>
  <c r="H48" i="4"/>
  <c r="H49" i="4"/>
  <c r="H50" i="4"/>
  <c r="I51" i="4"/>
  <c r="Q7" i="1"/>
  <c r="D7" i="1"/>
  <c r="D10" i="1"/>
  <c r="F24" i="31" s="1"/>
  <c r="M10" i="1"/>
  <c r="E10" i="1"/>
  <c r="H24" i="31" s="1"/>
  <c r="AK44" i="4"/>
  <c r="G31" i="4"/>
  <c r="G186" i="4" s="1"/>
  <c r="G188" i="4" s="1"/>
  <c r="I47" i="4"/>
  <c r="H353" i="4" s="1"/>
  <c r="J47" i="4"/>
  <c r="I353" i="4" s="1"/>
  <c r="K47" i="4"/>
  <c r="J353" i="4" s="1"/>
  <c r="AA47" i="4"/>
  <c r="G48" i="4"/>
  <c r="I49" i="4"/>
  <c r="I50" i="4"/>
  <c r="AI49" i="4"/>
  <c r="Y47" i="4"/>
  <c r="Q42" i="4"/>
  <c r="AH49" i="4"/>
  <c r="O36" i="4"/>
  <c r="N347" i="4" s="1"/>
  <c r="N355" i="4" s="1"/>
  <c r="R39" i="9"/>
  <c r="R37" i="9" s="1"/>
  <c r="L50" i="4"/>
  <c r="M50" i="4"/>
  <c r="Z36" i="4"/>
  <c r="W47" i="4"/>
  <c r="X47" i="4"/>
  <c r="M51" i="4"/>
  <c r="W204" i="4"/>
  <c r="W206" i="4" s="1"/>
  <c r="O47" i="4"/>
  <c r="N353" i="4" s="1"/>
  <c r="AF47" i="4"/>
  <c r="AE48" i="4"/>
  <c r="AE49" i="4"/>
  <c r="F42" i="4"/>
  <c r="Q47" i="4"/>
  <c r="P353" i="4" s="1"/>
  <c r="AG47" i="4"/>
  <c r="AE36" i="4"/>
  <c r="AD347" i="4" s="1"/>
  <c r="AD355" i="4" s="1"/>
  <c r="AF36" i="4"/>
  <c r="AE347" i="4" s="1"/>
  <c r="AE355" i="4" s="1"/>
  <c r="L31" i="4"/>
  <c r="L186" i="4" s="1"/>
  <c r="L200" i="4" s="1"/>
  <c r="L202" i="4" s="1"/>
  <c r="F204" i="4"/>
  <c r="F206" i="4" s="1"/>
  <c r="G36" i="4"/>
  <c r="F347" i="4" s="1"/>
  <c r="F355" i="4" s="1"/>
  <c r="W36" i="4"/>
  <c r="V347" i="4" s="1"/>
  <c r="V355" i="4" s="1"/>
  <c r="AJ42" i="4"/>
  <c r="AE47" i="4"/>
  <c r="P47" i="4"/>
  <c r="O353" i="4" s="1"/>
  <c r="O49" i="4"/>
  <c r="Q51" i="4"/>
  <c r="J36" i="4"/>
  <c r="I347" i="4" s="1"/>
  <c r="I355" i="4" s="1"/>
  <c r="AK35" i="4"/>
  <c r="R47" i="4"/>
  <c r="AH47" i="4"/>
  <c r="J204" i="4"/>
  <c r="J206" i="4" s="1"/>
  <c r="F31" i="4"/>
  <c r="F186" i="4" s="1"/>
  <c r="F188" i="4" s="1"/>
  <c r="P36" i="4"/>
  <c r="O347" i="4" s="1"/>
  <c r="O355" i="4" s="1"/>
  <c r="Q50" i="4"/>
  <c r="AG50" i="4"/>
  <c r="J42" i="4"/>
  <c r="T47" i="4"/>
  <c r="AJ47" i="4"/>
  <c r="T204" i="4"/>
  <c r="T206" i="4" s="1"/>
  <c r="AH50" i="4"/>
  <c r="AI51" i="4"/>
  <c r="AK33" i="4"/>
  <c r="U204" i="4"/>
  <c r="U206" i="4" s="1"/>
  <c r="Q49" i="4"/>
  <c r="Q31" i="4"/>
  <c r="Q186" i="4" s="1"/>
  <c r="AI50" i="4"/>
  <c r="AI31" i="4"/>
  <c r="AI186" i="4" s="1"/>
  <c r="M36" i="4"/>
  <c r="L347" i="4" s="1"/>
  <c r="L355" i="4" s="1"/>
  <c r="M204" i="4"/>
  <c r="M206" i="4" s="1"/>
  <c r="AK32" i="4"/>
  <c r="AC36" i="4"/>
  <c r="AB347" i="4" s="1"/>
  <c r="AB355" i="4" s="1"/>
  <c r="AC204" i="4"/>
  <c r="AC206" i="4" s="1"/>
  <c r="AJ31" i="4"/>
  <c r="AJ186" i="4" s="1"/>
  <c r="AJ49" i="4"/>
  <c r="N204" i="4"/>
  <c r="N206" i="4" s="1"/>
  <c r="N36" i="4"/>
  <c r="M347" i="4" s="1"/>
  <c r="M355" i="4" s="1"/>
  <c r="AD204" i="4"/>
  <c r="AD206" i="4" s="1"/>
  <c r="AD36" i="4"/>
  <c r="AC347" i="4" s="1"/>
  <c r="AC355" i="4" s="1"/>
  <c r="M42" i="4"/>
  <c r="O42" i="4"/>
  <c r="K204" i="4"/>
  <c r="K206" i="4" s="1"/>
  <c r="AK34" i="4"/>
  <c r="AH48" i="4"/>
  <c r="AH31" i="4"/>
  <c r="AH186" i="4" s="1"/>
  <c r="AE42" i="4"/>
  <c r="S39" i="9"/>
  <c r="S37" i="9" s="1"/>
  <c r="AA204" i="4"/>
  <c r="AA206" i="4" s="1"/>
  <c r="L42" i="4"/>
  <c r="N42" i="4"/>
  <c r="R2" i="29"/>
  <c r="R36" i="4"/>
  <c r="Q347" i="4" s="1"/>
  <c r="Q355" i="4" s="1"/>
  <c r="AH36" i="4"/>
  <c r="AG347" i="4" s="1"/>
  <c r="AG355" i="4" s="1"/>
  <c r="AK43" i="4"/>
  <c r="F47" i="4"/>
  <c r="E353" i="4" s="1"/>
  <c r="H31" i="4"/>
  <c r="H186" i="4" s="1"/>
  <c r="AI204" i="4"/>
  <c r="AI206" i="4" s="1"/>
  <c r="AH42" i="4"/>
  <c r="AI36" i="4"/>
  <c r="AH347" i="4" s="1"/>
  <c r="AH355" i="4" s="1"/>
  <c r="AI42" i="4"/>
  <c r="AJ36" i="4"/>
  <c r="AI347" i="4" s="1"/>
  <c r="AI355" i="4" s="1"/>
  <c r="M48" i="4"/>
  <c r="M31" i="4"/>
  <c r="M186" i="4" s="1"/>
  <c r="K51" i="4"/>
  <c r="H36" i="4"/>
  <c r="G347" i="4" s="1"/>
  <c r="G355" i="4" s="1"/>
  <c r="H204" i="4"/>
  <c r="H206" i="4" s="1"/>
  <c r="X36" i="4"/>
  <c r="W347" i="4" s="1"/>
  <c r="W355" i="4" s="1"/>
  <c r="X204" i="4"/>
  <c r="X206" i="4" s="1"/>
  <c r="AJ48" i="4"/>
  <c r="Q204" i="4"/>
  <c r="Q206" i="4" s="1"/>
  <c r="Q36" i="4"/>
  <c r="P347" i="4" s="1"/>
  <c r="P355" i="4" s="1"/>
  <c r="F36" i="4"/>
  <c r="E347" i="4" s="1"/>
  <c r="G204" i="4"/>
  <c r="G206" i="4" s="1"/>
  <c r="I31" i="4"/>
  <c r="I186" i="4" s="1"/>
  <c r="I48" i="4"/>
  <c r="Z47" i="4"/>
  <c r="N48" i="4"/>
  <c r="N31" i="4"/>
  <c r="N186" i="4" s="1"/>
  <c r="O48" i="4"/>
  <c r="O31" i="4"/>
  <c r="O186" i="4" s="1"/>
  <c r="N49" i="4"/>
  <c r="N47" i="4"/>
  <c r="M353" i="4" s="1"/>
  <c r="AD47" i="4"/>
  <c r="AI48" i="4"/>
  <c r="K50" i="4"/>
  <c r="E4" i="1"/>
  <c r="AW5" i="31" s="1"/>
  <c r="AV7" i="31" s="1"/>
  <c r="M49" i="4"/>
  <c r="I36" i="4"/>
  <c r="H347" i="4" s="1"/>
  <c r="H355" i="4" s="1"/>
  <c r="I204" i="4"/>
  <c r="I206" i="4" s="1"/>
  <c r="AG204" i="4"/>
  <c r="AG206" i="4" s="1"/>
  <c r="AG36" i="4"/>
  <c r="AF347" i="4" s="1"/>
  <c r="AF355" i="4" s="1"/>
  <c r="L49" i="4"/>
  <c r="L36" i="4"/>
  <c r="K347" i="4" s="1"/>
  <c r="K355" i="4" s="1"/>
  <c r="AB36" i="4"/>
  <c r="AA347" i="4" s="1"/>
  <c r="AA355" i="4" s="1"/>
  <c r="S204" i="4"/>
  <c r="S206" i="4" s="1"/>
  <c r="G37" i="9"/>
  <c r="G45" i="9" s="1"/>
  <c r="L48" i="4"/>
  <c r="K49" i="4"/>
  <c r="K36" i="4"/>
  <c r="J347" i="4" s="1"/>
  <c r="J355" i="4" s="1"/>
  <c r="AA36" i="4"/>
  <c r="Z347" i="4" s="1"/>
  <c r="Z355" i="4" s="1"/>
  <c r="H37" i="9"/>
  <c r="G46" i="9" s="1"/>
  <c r="N50" i="4"/>
  <c r="N51" i="4"/>
  <c r="O204" i="4"/>
  <c r="O206" i="4" s="1"/>
  <c r="AE204" i="4"/>
  <c r="AE206" i="4" s="1"/>
  <c r="Q48" i="4"/>
  <c r="O50" i="4"/>
  <c r="AE50" i="4"/>
  <c r="O51" i="4"/>
  <c r="AE51" i="4"/>
  <c r="P204" i="4"/>
  <c r="P206" i="4" s="1"/>
  <c r="AF204" i="4"/>
  <c r="AF206" i="4" s="1"/>
  <c r="R204" i="4"/>
  <c r="R206" i="4" s="1"/>
  <c r="AH204" i="4"/>
  <c r="AH206" i="4" s="1"/>
  <c r="G42" i="4"/>
  <c r="AK46" i="4"/>
  <c r="L204" i="4"/>
  <c r="L206" i="4" s="1"/>
  <c r="AB204" i="4"/>
  <c r="AB206" i="4" s="1"/>
  <c r="AU26" i="31"/>
  <c r="AV26" i="31" s="1"/>
  <c r="D11" i="1"/>
  <c r="E11" i="1"/>
  <c r="AL159" i="4"/>
  <c r="F20" i="31"/>
  <c r="M11" i="1"/>
  <c r="F18" i="31"/>
  <c r="AL158" i="4"/>
  <c r="Q15" i="1"/>
  <c r="J30" i="31"/>
  <c r="N13" i="1"/>
  <c r="S7" i="1" l="1"/>
  <c r="P187" i="4"/>
  <c r="P201" i="4" s="1"/>
  <c r="AM157" i="4"/>
  <c r="D5" i="1" s="1"/>
  <c r="I187" i="4"/>
  <c r="AK157" i="4"/>
  <c r="E5" i="1"/>
  <c r="H14" i="31" s="1"/>
  <c r="U288" i="29"/>
  <c r="U289" i="29"/>
  <c r="U287" i="29"/>
  <c r="U286" i="29"/>
  <c r="U292" i="29"/>
  <c r="U291" i="29"/>
  <c r="U285" i="29"/>
  <c r="U284" i="29"/>
  <c r="U283" i="29"/>
  <c r="U282" i="29"/>
  <c r="U290" i="29"/>
  <c r="P287" i="29"/>
  <c r="P288" i="29"/>
  <c r="P289" i="29"/>
  <c r="P284" i="29"/>
  <c r="P292" i="29"/>
  <c r="P291" i="29"/>
  <c r="P282" i="29"/>
  <c r="P283" i="29"/>
  <c r="P290" i="29"/>
  <c r="P286" i="29"/>
  <c r="P285" i="29"/>
  <c r="R4" i="1"/>
  <c r="S4" i="1" s="1"/>
  <c r="N4" i="1"/>
  <c r="N6" i="1" s="1"/>
  <c r="T5" i="1"/>
  <c r="O5" i="1"/>
  <c r="I8" i="1"/>
  <c r="O8" i="1"/>
  <c r="I9" i="1"/>
  <c r="O9" i="1"/>
  <c r="V368" i="4"/>
  <c r="V369" i="4" s="1"/>
  <c r="U273" i="29"/>
  <c r="U281" i="29"/>
  <c r="U276" i="29"/>
  <c r="U280" i="29"/>
  <c r="U279" i="29"/>
  <c r="U278" i="29"/>
  <c r="U275" i="29"/>
  <c r="U272" i="29"/>
  <c r="U274" i="29"/>
  <c r="U277" i="29"/>
  <c r="P275" i="29"/>
  <c r="P280" i="29"/>
  <c r="P278" i="29"/>
  <c r="P272" i="29"/>
  <c r="P281" i="29"/>
  <c r="P279" i="29"/>
  <c r="P273" i="29"/>
  <c r="P274" i="29"/>
  <c r="P276" i="29"/>
  <c r="P277" i="29"/>
  <c r="X6" i="1"/>
  <c r="X5" i="1"/>
  <c r="V372" i="4"/>
  <c r="V373" i="4" s="1"/>
  <c r="P269" i="29"/>
  <c r="P271" i="29"/>
  <c r="P261" i="29"/>
  <c r="P268" i="29"/>
  <c r="P266" i="29"/>
  <c r="P267" i="29"/>
  <c r="P265" i="29"/>
  <c r="P270" i="29"/>
  <c r="P264" i="29"/>
  <c r="P262" i="29"/>
  <c r="P263" i="29"/>
  <c r="P260" i="29"/>
  <c r="U267" i="29"/>
  <c r="U262" i="29"/>
  <c r="U265" i="29"/>
  <c r="U260" i="29"/>
  <c r="U271" i="29"/>
  <c r="U264" i="29"/>
  <c r="U263" i="29"/>
  <c r="U270" i="29"/>
  <c r="U269" i="29"/>
  <c r="U268" i="29"/>
  <c r="U266" i="29"/>
  <c r="U261" i="29"/>
  <c r="P257" i="29"/>
  <c r="P251" i="29"/>
  <c r="P259" i="29"/>
  <c r="P258" i="29"/>
  <c r="P256" i="29"/>
  <c r="P253" i="29"/>
  <c r="P252" i="29"/>
  <c r="P255" i="29"/>
  <c r="P254" i="29"/>
  <c r="P250" i="29"/>
  <c r="U258" i="29"/>
  <c r="U250" i="29"/>
  <c r="U252" i="29"/>
  <c r="U256" i="29"/>
  <c r="U259" i="29"/>
  <c r="U257" i="29"/>
  <c r="U251" i="29"/>
  <c r="U255" i="29"/>
  <c r="U253" i="29"/>
  <c r="U254" i="29"/>
  <c r="P244" i="29"/>
  <c r="P248" i="29"/>
  <c r="P241" i="29"/>
  <c r="P246" i="29"/>
  <c r="P240" i="29"/>
  <c r="P239" i="29"/>
  <c r="P245" i="29"/>
  <c r="P243" i="29"/>
  <c r="P238" i="29"/>
  <c r="P249" i="29"/>
  <c r="P247" i="29"/>
  <c r="P242" i="29"/>
  <c r="U248" i="29"/>
  <c r="U243" i="29"/>
  <c r="U245" i="29"/>
  <c r="U246" i="29"/>
  <c r="U238" i="29"/>
  <c r="U247" i="29"/>
  <c r="U240" i="29"/>
  <c r="U249" i="29"/>
  <c r="U242" i="29"/>
  <c r="U244" i="29"/>
  <c r="U239" i="29"/>
  <c r="U241" i="29"/>
  <c r="P234" i="29"/>
  <c r="P227" i="29"/>
  <c r="P236" i="29"/>
  <c r="P235" i="29"/>
  <c r="P233" i="29"/>
  <c r="P229" i="29"/>
  <c r="P237" i="29"/>
  <c r="P228" i="29"/>
  <c r="P231" i="29"/>
  <c r="P232" i="29"/>
  <c r="P230" i="29"/>
  <c r="U235" i="29"/>
  <c r="U227" i="29"/>
  <c r="U234" i="29"/>
  <c r="U233" i="29"/>
  <c r="U230" i="29"/>
  <c r="U232" i="29"/>
  <c r="U231" i="29"/>
  <c r="U228" i="29"/>
  <c r="U229" i="29"/>
  <c r="U236" i="29"/>
  <c r="U237" i="29"/>
  <c r="P219" i="29"/>
  <c r="P224" i="29"/>
  <c r="P217" i="29"/>
  <c r="P226" i="29"/>
  <c r="P223" i="29"/>
  <c r="P222" i="29"/>
  <c r="P220" i="29"/>
  <c r="P215" i="29"/>
  <c r="P216" i="29"/>
  <c r="P221" i="29"/>
  <c r="P225" i="29"/>
  <c r="P218" i="29"/>
  <c r="U222" i="29"/>
  <c r="U223" i="29"/>
  <c r="U221" i="29"/>
  <c r="U225" i="29"/>
  <c r="U226" i="29"/>
  <c r="U215" i="29"/>
  <c r="U220" i="29"/>
  <c r="U219" i="29"/>
  <c r="U224" i="29"/>
  <c r="U218" i="29"/>
  <c r="U216" i="29"/>
  <c r="U217" i="29"/>
  <c r="U210" i="29"/>
  <c r="U211" i="29"/>
  <c r="U213" i="29"/>
  <c r="U209" i="29"/>
  <c r="U206" i="29"/>
  <c r="U204" i="29"/>
  <c r="U205" i="29"/>
  <c r="U212" i="29"/>
  <c r="U207" i="29"/>
  <c r="U208" i="29"/>
  <c r="U214" i="29"/>
  <c r="P209" i="29"/>
  <c r="P205" i="29"/>
  <c r="P211" i="29"/>
  <c r="P214" i="29"/>
  <c r="P210" i="29"/>
  <c r="P204" i="29"/>
  <c r="P206" i="29"/>
  <c r="P213" i="29"/>
  <c r="P212" i="29"/>
  <c r="P207" i="29"/>
  <c r="P208" i="29"/>
  <c r="P201" i="29"/>
  <c r="P191" i="29"/>
  <c r="P198" i="29"/>
  <c r="P197" i="29"/>
  <c r="P195" i="29"/>
  <c r="P196" i="29"/>
  <c r="P200" i="29"/>
  <c r="P194" i="29"/>
  <c r="P199" i="29"/>
  <c r="P203" i="29"/>
  <c r="P192" i="29"/>
  <c r="P202" i="29"/>
  <c r="P193" i="29"/>
  <c r="U196" i="29"/>
  <c r="U195" i="29"/>
  <c r="U202" i="29"/>
  <c r="U194" i="29"/>
  <c r="U197" i="29"/>
  <c r="U198" i="29"/>
  <c r="U200" i="29"/>
  <c r="U193" i="29"/>
  <c r="U199" i="29"/>
  <c r="U192" i="29"/>
  <c r="U201" i="29"/>
  <c r="U203" i="29"/>
  <c r="U191" i="29"/>
  <c r="P184" i="29"/>
  <c r="P185" i="29"/>
  <c r="P181" i="29"/>
  <c r="P189" i="29"/>
  <c r="P183" i="29"/>
  <c r="P188" i="29"/>
  <c r="P187" i="29"/>
  <c r="P186" i="29"/>
  <c r="P182" i="29"/>
  <c r="P180" i="29"/>
  <c r="P178" i="29"/>
  <c r="P190" i="29"/>
  <c r="P179" i="29"/>
  <c r="U183" i="29"/>
  <c r="U178" i="29"/>
  <c r="U181" i="29"/>
  <c r="U190" i="29"/>
  <c r="U182" i="29"/>
  <c r="U179" i="29"/>
  <c r="U185" i="29"/>
  <c r="U189" i="29"/>
  <c r="U184" i="29"/>
  <c r="U188" i="29"/>
  <c r="U180" i="29"/>
  <c r="U187" i="29"/>
  <c r="U186" i="29"/>
  <c r="P168" i="29"/>
  <c r="P169" i="29"/>
  <c r="P171" i="29"/>
  <c r="P174" i="29"/>
  <c r="P173" i="29"/>
  <c r="P166" i="29"/>
  <c r="P167" i="29"/>
  <c r="P170" i="29"/>
  <c r="P172" i="29"/>
  <c r="P165" i="29"/>
  <c r="P164" i="29"/>
  <c r="P175" i="29"/>
  <c r="P176" i="29"/>
  <c r="P177" i="29"/>
  <c r="U167" i="29"/>
  <c r="U169" i="29"/>
  <c r="U168" i="29"/>
  <c r="U166" i="29"/>
  <c r="U177" i="29"/>
  <c r="U165" i="29"/>
  <c r="U170" i="29"/>
  <c r="U176" i="29"/>
  <c r="U164" i="29"/>
  <c r="U171" i="29"/>
  <c r="U175" i="29"/>
  <c r="U173" i="29"/>
  <c r="U172" i="29"/>
  <c r="U174" i="29"/>
  <c r="P160" i="29"/>
  <c r="P163" i="29"/>
  <c r="P157" i="29"/>
  <c r="P159" i="29"/>
  <c r="P156" i="29"/>
  <c r="P158" i="29"/>
  <c r="P161" i="29"/>
  <c r="P162" i="29"/>
  <c r="P155" i="29"/>
  <c r="P153" i="29"/>
  <c r="P154" i="29"/>
  <c r="P152" i="29"/>
  <c r="U153" i="29"/>
  <c r="U163" i="29"/>
  <c r="U154" i="29"/>
  <c r="U159" i="29"/>
  <c r="U162" i="29"/>
  <c r="U160" i="29"/>
  <c r="U155" i="29"/>
  <c r="U152" i="29"/>
  <c r="U161" i="29"/>
  <c r="U158" i="29"/>
  <c r="U157" i="29"/>
  <c r="U156" i="29"/>
  <c r="P144" i="29"/>
  <c r="P142" i="29"/>
  <c r="P143" i="29"/>
  <c r="P151" i="29"/>
  <c r="P140" i="29"/>
  <c r="P148" i="29"/>
  <c r="P150" i="29"/>
  <c r="P141" i="29"/>
  <c r="P147" i="29"/>
  <c r="P149" i="29"/>
  <c r="P146" i="29"/>
  <c r="P145" i="29"/>
  <c r="U146" i="29"/>
  <c r="U147" i="29"/>
  <c r="U142" i="29"/>
  <c r="U141" i="29"/>
  <c r="U140" i="29"/>
  <c r="U144" i="29"/>
  <c r="U143" i="29"/>
  <c r="U150" i="29"/>
  <c r="U145" i="29"/>
  <c r="U151" i="29"/>
  <c r="U148" i="29"/>
  <c r="U149" i="29"/>
  <c r="P126" i="29"/>
  <c r="P137" i="29"/>
  <c r="P138" i="29"/>
  <c r="P130" i="29"/>
  <c r="P135" i="29"/>
  <c r="P131" i="29"/>
  <c r="P132" i="29"/>
  <c r="P133" i="29"/>
  <c r="P136" i="29"/>
  <c r="P127" i="29"/>
  <c r="P139" i="29"/>
  <c r="P134" i="29"/>
  <c r="P128" i="29"/>
  <c r="P129" i="29"/>
  <c r="U126" i="29"/>
  <c r="U136" i="29"/>
  <c r="U138" i="29"/>
  <c r="U128" i="29"/>
  <c r="U129" i="29"/>
  <c r="U130" i="29"/>
  <c r="U137" i="29"/>
  <c r="U127" i="29"/>
  <c r="U135" i="29"/>
  <c r="U131" i="29"/>
  <c r="U132" i="29"/>
  <c r="U134" i="29"/>
  <c r="U133" i="29"/>
  <c r="U139" i="29"/>
  <c r="U124" i="29"/>
  <c r="U122" i="29"/>
  <c r="U125" i="29"/>
  <c r="U123" i="29"/>
  <c r="P123" i="29"/>
  <c r="P122" i="29"/>
  <c r="P124" i="29"/>
  <c r="P125" i="29"/>
  <c r="J51" i="4"/>
  <c r="J50" i="4"/>
  <c r="J49" i="4"/>
  <c r="V31" i="4"/>
  <c r="V186" i="4" s="1"/>
  <c r="V200" i="4" s="1"/>
  <c r="V202" i="4" s="1"/>
  <c r="J9" i="25"/>
  <c r="AG31" i="4"/>
  <c r="AG186" i="4" s="1"/>
  <c r="AG200" i="4" s="1"/>
  <c r="AG202" i="4" s="1"/>
  <c r="V48" i="4"/>
  <c r="AB31" i="4"/>
  <c r="AB186" i="4" s="1"/>
  <c r="AB200" i="4" s="1"/>
  <c r="AB202" i="4" s="1"/>
  <c r="U7" i="1"/>
  <c r="G5" i="1"/>
  <c r="G40" i="22" s="1"/>
  <c r="R5" i="1"/>
  <c r="S5" i="1" s="1"/>
  <c r="V50" i="4"/>
  <c r="S42" i="4"/>
  <c r="X42" i="4"/>
  <c r="S51" i="4"/>
  <c r="AB42" i="4"/>
  <c r="S31" i="4"/>
  <c r="S186" i="4" s="1"/>
  <c r="S188" i="4" s="1"/>
  <c r="AD49" i="4"/>
  <c r="AD52" i="4" s="1"/>
  <c r="AD212" i="4" s="1"/>
  <c r="V42" i="4"/>
  <c r="AB51" i="4"/>
  <c r="R42" i="4"/>
  <c r="AD31" i="4"/>
  <c r="AD186" i="4" s="1"/>
  <c r="AD200" i="4" s="1"/>
  <c r="AD202" i="4" s="1"/>
  <c r="I4" i="1"/>
  <c r="S50" i="4"/>
  <c r="AC50" i="4"/>
  <c r="S49" i="4"/>
  <c r="AB50" i="4"/>
  <c r="Y50" i="4"/>
  <c r="I2" i="25"/>
  <c r="I6" i="25"/>
  <c r="J3" i="25"/>
  <c r="R8" i="1"/>
  <c r="S8" i="1" s="1"/>
  <c r="V376" i="4"/>
  <c r="V377" i="4" s="1"/>
  <c r="G8" i="1"/>
  <c r="H41" i="22" s="1"/>
  <c r="J18" i="31"/>
  <c r="L18" i="31" s="1"/>
  <c r="I7" i="25"/>
  <c r="P120" i="29"/>
  <c r="P118" i="29"/>
  <c r="P119" i="29"/>
  <c r="P121" i="29"/>
  <c r="U106" i="29"/>
  <c r="U120" i="29"/>
  <c r="U119" i="29"/>
  <c r="U121" i="29"/>
  <c r="U118" i="29"/>
  <c r="U113" i="29"/>
  <c r="U117" i="29"/>
  <c r="U114" i="29"/>
  <c r="U115" i="29"/>
  <c r="U111" i="29"/>
  <c r="U107" i="29"/>
  <c r="U112" i="29"/>
  <c r="U109" i="29"/>
  <c r="U116" i="29"/>
  <c r="P115" i="29"/>
  <c r="P114" i="29"/>
  <c r="P113" i="29"/>
  <c r="P117" i="29"/>
  <c r="P112" i="29"/>
  <c r="P116" i="29"/>
  <c r="U96" i="29"/>
  <c r="P108" i="29"/>
  <c r="P107" i="29"/>
  <c r="P109" i="29"/>
  <c r="P110" i="29"/>
  <c r="P106" i="29"/>
  <c r="P111" i="29"/>
  <c r="U110" i="29"/>
  <c r="U108" i="29"/>
  <c r="U104" i="29"/>
  <c r="I13" i="25"/>
  <c r="J11" i="25"/>
  <c r="P101" i="29"/>
  <c r="P103" i="29"/>
  <c r="P102" i="29"/>
  <c r="P104" i="29"/>
  <c r="P105" i="29"/>
  <c r="U100" i="29"/>
  <c r="U105" i="29"/>
  <c r="U101" i="29"/>
  <c r="U83" i="29"/>
  <c r="U93" i="29"/>
  <c r="U103" i="29"/>
  <c r="U86" i="29"/>
  <c r="U94" i="29"/>
  <c r="U102" i="29"/>
  <c r="U80" i="29"/>
  <c r="P97" i="29"/>
  <c r="P100" i="29"/>
  <c r="P98" i="29"/>
  <c r="P99" i="29"/>
  <c r="P96" i="29"/>
  <c r="P95" i="29"/>
  <c r="U95" i="29"/>
  <c r="U98" i="29"/>
  <c r="U99" i="29"/>
  <c r="U97" i="29"/>
  <c r="U92" i="29"/>
  <c r="U88" i="29"/>
  <c r="U91" i="29"/>
  <c r="P90" i="29"/>
  <c r="P92" i="29"/>
  <c r="P94" i="29"/>
  <c r="P91" i="29"/>
  <c r="P88" i="29"/>
  <c r="P93" i="29"/>
  <c r="P89" i="29"/>
  <c r="U90" i="29"/>
  <c r="U89" i="29"/>
  <c r="U82" i="29"/>
  <c r="U87" i="29"/>
  <c r="U85" i="29"/>
  <c r="U81" i="29"/>
  <c r="U74" i="29"/>
  <c r="U84" i="29"/>
  <c r="P83" i="29"/>
  <c r="P84" i="29"/>
  <c r="P85" i="29"/>
  <c r="P82" i="29"/>
  <c r="P87" i="29"/>
  <c r="P81" i="29"/>
  <c r="P86" i="29"/>
  <c r="U67" i="29"/>
  <c r="U75" i="29"/>
  <c r="U79" i="29"/>
  <c r="U51" i="29"/>
  <c r="U71" i="29"/>
  <c r="U78" i="29"/>
  <c r="U77" i="29"/>
  <c r="P78" i="29"/>
  <c r="P80" i="29"/>
  <c r="P79" i="29"/>
  <c r="P77" i="29"/>
  <c r="P75" i="29"/>
  <c r="P74" i="29"/>
  <c r="P76" i="29"/>
  <c r="U76" i="29"/>
  <c r="U72" i="29"/>
  <c r="U69" i="29"/>
  <c r="U70" i="29"/>
  <c r="U68" i="29"/>
  <c r="P69" i="29"/>
  <c r="P72" i="29"/>
  <c r="P71" i="29"/>
  <c r="P73" i="29"/>
  <c r="P70" i="29"/>
  <c r="U66" i="29"/>
  <c r="U73" i="29"/>
  <c r="U64" i="29"/>
  <c r="U65" i="29"/>
  <c r="U60" i="29"/>
  <c r="U61" i="29"/>
  <c r="P64" i="29"/>
  <c r="P67" i="29"/>
  <c r="P66" i="29"/>
  <c r="P65" i="29"/>
  <c r="P68" i="29"/>
  <c r="J5" i="25"/>
  <c r="P59" i="29"/>
  <c r="P62" i="29"/>
  <c r="P60" i="29"/>
  <c r="P63" i="29"/>
  <c r="P61" i="29"/>
  <c r="U38" i="29"/>
  <c r="U47" i="29"/>
  <c r="U59" i="29"/>
  <c r="U63" i="29"/>
  <c r="U58" i="29"/>
  <c r="U62" i="29"/>
  <c r="P57" i="29"/>
  <c r="P56" i="29"/>
  <c r="P58" i="29"/>
  <c r="U56" i="29"/>
  <c r="U48" i="29"/>
  <c r="U57" i="29"/>
  <c r="U49" i="29"/>
  <c r="U53" i="29"/>
  <c r="J4" i="25"/>
  <c r="U50" i="29"/>
  <c r="U54" i="29"/>
  <c r="U46" i="29"/>
  <c r="P50" i="29"/>
  <c r="P54" i="29"/>
  <c r="P52" i="29"/>
  <c r="P51" i="29"/>
  <c r="P53" i="29"/>
  <c r="P55" i="29"/>
  <c r="U44" i="29"/>
  <c r="U52" i="29"/>
  <c r="U55" i="29"/>
  <c r="U37" i="29"/>
  <c r="T4" i="1"/>
  <c r="U36" i="29"/>
  <c r="U35" i="29"/>
  <c r="U45" i="29"/>
  <c r="P47" i="29"/>
  <c r="P44" i="29"/>
  <c r="P48" i="29"/>
  <c r="P45" i="29"/>
  <c r="P49" i="29"/>
  <c r="P46" i="29"/>
  <c r="U40" i="29"/>
  <c r="U30" i="29"/>
  <c r="U43" i="29"/>
  <c r="P42" i="29"/>
  <c r="P37" i="29"/>
  <c r="P43" i="29"/>
  <c r="P36" i="29"/>
  <c r="P38" i="29"/>
  <c r="P35" i="29"/>
  <c r="P41" i="29"/>
  <c r="P39" i="29"/>
  <c r="P40" i="29"/>
  <c r="U29" i="29"/>
  <c r="U42" i="29"/>
  <c r="U39" i="29"/>
  <c r="U41" i="29"/>
  <c r="U33" i="29"/>
  <c r="U24" i="29"/>
  <c r="U25" i="29"/>
  <c r="U31" i="29"/>
  <c r="U26" i="29"/>
  <c r="U32" i="29"/>
  <c r="U34" i="29"/>
  <c r="U18" i="29"/>
  <c r="U28" i="29"/>
  <c r="P30" i="29"/>
  <c r="P31" i="29"/>
  <c r="P29" i="29"/>
  <c r="P33" i="29"/>
  <c r="P32" i="29"/>
  <c r="P28" i="29"/>
  <c r="P27" i="29"/>
  <c r="P25" i="29"/>
  <c r="P24" i="29"/>
  <c r="P34" i="29"/>
  <c r="P26" i="29"/>
  <c r="U5" i="29"/>
  <c r="U27" i="29"/>
  <c r="U4" i="29"/>
  <c r="U20" i="29"/>
  <c r="P21" i="29"/>
  <c r="P22" i="29"/>
  <c r="P23" i="29"/>
  <c r="P20" i="29"/>
  <c r="U21" i="29"/>
  <c r="U23" i="29"/>
  <c r="U6" i="29"/>
  <c r="U22" i="29"/>
  <c r="U10" i="29"/>
  <c r="U8" i="29"/>
  <c r="U14" i="29"/>
  <c r="U16" i="29"/>
  <c r="U3" i="29"/>
  <c r="U7" i="29"/>
  <c r="U17" i="29"/>
  <c r="U11" i="29"/>
  <c r="U15" i="29"/>
  <c r="U13" i="29"/>
  <c r="U12" i="29"/>
  <c r="U9" i="29"/>
  <c r="U19" i="29"/>
  <c r="P15" i="29"/>
  <c r="P19" i="29"/>
  <c r="P18" i="29"/>
  <c r="P16" i="29"/>
  <c r="P17" i="29"/>
  <c r="AJ257" i="4"/>
  <c r="D13" i="1" s="1"/>
  <c r="F30" i="31" s="1"/>
  <c r="R12" i="1"/>
  <c r="P13" i="29"/>
  <c r="P9" i="29"/>
  <c r="P7" i="29"/>
  <c r="P11" i="29"/>
  <c r="P10" i="29"/>
  <c r="P8" i="29"/>
  <c r="P14" i="29"/>
  <c r="P12" i="29"/>
  <c r="T8" i="1"/>
  <c r="U8" i="1" s="1"/>
  <c r="P4" i="29"/>
  <c r="P3" i="29"/>
  <c r="P5" i="29"/>
  <c r="P6" i="29"/>
  <c r="K188" i="4"/>
  <c r="R9" i="1"/>
  <c r="S9" i="1" s="1"/>
  <c r="R14" i="1"/>
  <c r="G9" i="1"/>
  <c r="H42" i="22" s="1"/>
  <c r="J20" i="31"/>
  <c r="L20" i="31" s="1"/>
  <c r="L15" i="1"/>
  <c r="AP5" i="29"/>
  <c r="AO4" i="29"/>
  <c r="AQ4" i="29"/>
  <c r="N10" i="1"/>
  <c r="J24" i="31"/>
  <c r="L24" i="31" s="1"/>
  <c r="G10" i="1"/>
  <c r="P32" i="31"/>
  <c r="L14" i="1"/>
  <c r="L8" i="1"/>
  <c r="P18" i="31"/>
  <c r="P22" i="31"/>
  <c r="L7" i="1"/>
  <c r="J14" i="31"/>
  <c r="L14" i="31" s="1"/>
  <c r="N12" i="1"/>
  <c r="P14" i="31"/>
  <c r="L5" i="1"/>
  <c r="L9" i="1"/>
  <c r="P20" i="31"/>
  <c r="L4" i="1"/>
  <c r="K6" i="1"/>
  <c r="P12" i="31"/>
  <c r="L10" i="1"/>
  <c r="P24" i="31"/>
  <c r="O7" i="1"/>
  <c r="P7" i="1" s="1"/>
  <c r="I7" i="1"/>
  <c r="G4" i="1"/>
  <c r="G39" i="22" s="1"/>
  <c r="J12" i="31"/>
  <c r="L12" i="31" s="1"/>
  <c r="G12" i="1"/>
  <c r="H6" i="1"/>
  <c r="O6" i="1" s="1"/>
  <c r="J32" i="31"/>
  <c r="P28" i="31"/>
  <c r="L12" i="1"/>
  <c r="F6" i="1"/>
  <c r="G6" i="1" s="1"/>
  <c r="N11" i="1"/>
  <c r="G11" i="1"/>
  <c r="P30" i="31"/>
  <c r="L13" i="1"/>
  <c r="O11" i="1"/>
  <c r="P11" i="1" s="1"/>
  <c r="I11" i="1"/>
  <c r="N12" i="31"/>
  <c r="J6" i="1"/>
  <c r="N16" i="31" s="1"/>
  <c r="J22" i="31"/>
  <c r="L22" i="31" s="1"/>
  <c r="N7" i="1"/>
  <c r="G7" i="1"/>
  <c r="T9" i="1"/>
  <c r="U9" i="1" s="1"/>
  <c r="O10" i="1"/>
  <c r="P10" i="1" s="1"/>
  <c r="I10" i="1"/>
  <c r="J10" i="25"/>
  <c r="I8" i="25"/>
  <c r="J8" i="25"/>
  <c r="I12" i="25"/>
  <c r="G59" i="4"/>
  <c r="L188" i="4"/>
  <c r="I12" i="1"/>
  <c r="AB6" i="17"/>
  <c r="L6" i="17"/>
  <c r="AC7" i="17"/>
  <c r="R6" i="17"/>
  <c r="AJ264" i="4"/>
  <c r="D14" i="1" s="1"/>
  <c r="F32" i="31" s="1"/>
  <c r="AH9" i="17"/>
  <c r="AJ263" i="4"/>
  <c r="E14" i="1" s="1"/>
  <c r="I14" i="1" s="1"/>
  <c r="AK264" i="4"/>
  <c r="H28" i="31"/>
  <c r="L28" i="31" s="1"/>
  <c r="Q12" i="1"/>
  <c r="U12" i="1" s="1"/>
  <c r="T7" i="17"/>
  <c r="T6" i="17"/>
  <c r="D8" i="17"/>
  <c r="AK256" i="4"/>
  <c r="W7" i="17"/>
  <c r="W6" i="17"/>
  <c r="E269" i="4"/>
  <c r="AJ268" i="4"/>
  <c r="G7" i="17"/>
  <c r="G6" i="17"/>
  <c r="F7" i="17"/>
  <c r="F6" i="17"/>
  <c r="E7" i="17"/>
  <c r="E6" i="17"/>
  <c r="U7" i="17"/>
  <c r="U6" i="17"/>
  <c r="X7" i="17"/>
  <c r="X6" i="17"/>
  <c r="H7" i="17"/>
  <c r="H6" i="17"/>
  <c r="V7" i="17"/>
  <c r="V6" i="17"/>
  <c r="C8" i="17"/>
  <c r="AK257" i="4"/>
  <c r="AJ256" i="4"/>
  <c r="E13" i="1" s="1"/>
  <c r="F52" i="4"/>
  <c r="F212" i="4" s="1"/>
  <c r="F216" i="4" s="1"/>
  <c r="M52" i="4"/>
  <c r="M212" i="4" s="1"/>
  <c r="J4" i="17" s="1"/>
  <c r="AM47" i="4"/>
  <c r="F44" i="31" s="1"/>
  <c r="I52" i="4"/>
  <c r="I212" i="4" s="1"/>
  <c r="F4" i="17" s="1"/>
  <c r="AL43" i="4"/>
  <c r="G52" i="4"/>
  <c r="G212" i="4" s="1"/>
  <c r="D67" i="1" s="1"/>
  <c r="F22" i="31"/>
  <c r="H52" i="4"/>
  <c r="H212" i="4" s="1"/>
  <c r="E67" i="1" s="1"/>
  <c r="AK58" i="4"/>
  <c r="F59" i="4"/>
  <c r="AE188" i="4"/>
  <c r="G200" i="4"/>
  <c r="G202" i="4" s="1"/>
  <c r="K52" i="4"/>
  <c r="K212" i="4" s="1"/>
  <c r="H4" i="17" s="1"/>
  <c r="Q52" i="4"/>
  <c r="Q212" i="4" s="1"/>
  <c r="R67" i="1" s="1"/>
  <c r="AH52" i="4"/>
  <c r="AH212" i="4" s="1"/>
  <c r="AH216" i="4" s="1"/>
  <c r="AI52" i="4"/>
  <c r="AI212" i="4" s="1"/>
  <c r="AJ67" i="1" s="1"/>
  <c r="AM36" i="4"/>
  <c r="D4" i="1" s="1"/>
  <c r="C39" i="22" s="1"/>
  <c r="AE52" i="4"/>
  <c r="AE212" i="4" s="1"/>
  <c r="AF67" i="1" s="1"/>
  <c r="AN36" i="4"/>
  <c r="F38" i="31" s="1"/>
  <c r="Y347" i="4"/>
  <c r="Y355" i="4" s="1"/>
  <c r="F200" i="4"/>
  <c r="F202" i="4" s="1"/>
  <c r="AG52" i="4"/>
  <c r="AG212" i="4" s="1"/>
  <c r="AH67" i="1" s="1"/>
  <c r="L52" i="4"/>
  <c r="L212" i="4" s="1"/>
  <c r="I4" i="17" s="1"/>
  <c r="O52" i="4"/>
  <c r="O212" i="4" s="1"/>
  <c r="O223" i="4" s="1"/>
  <c r="O225" i="4" s="1"/>
  <c r="AI188" i="4"/>
  <c r="AI200" i="4"/>
  <c r="AI202" i="4" s="1"/>
  <c r="AJ188" i="4"/>
  <c r="AJ200" i="4"/>
  <c r="AJ202" i="4" s="1"/>
  <c r="P2" i="29"/>
  <c r="N200" i="4"/>
  <c r="N202" i="4" s="1"/>
  <c r="N188" i="4"/>
  <c r="H188" i="4"/>
  <c r="H200" i="4"/>
  <c r="H202" i="4" s="1"/>
  <c r="AJ52" i="4"/>
  <c r="AJ212" i="4" s="1"/>
  <c r="U2" i="29"/>
  <c r="AH200" i="4"/>
  <c r="AH202" i="4" s="1"/>
  <c r="AH188" i="4"/>
  <c r="E355" i="4"/>
  <c r="AK47" i="4"/>
  <c r="H44" i="31" s="1"/>
  <c r="O200" i="4"/>
  <c r="O202" i="4" s="1"/>
  <c r="O188" i="4"/>
  <c r="N52" i="4"/>
  <c r="N212" i="4" s="1"/>
  <c r="M9" i="1"/>
  <c r="Q4" i="1"/>
  <c r="M13" i="1"/>
  <c r="P13" i="1" s="1"/>
  <c r="E6" i="1"/>
  <c r="H16" i="31" s="1"/>
  <c r="M4" i="1"/>
  <c r="E39" i="22"/>
  <c r="M14" i="1"/>
  <c r="P14" i="1" s="1"/>
  <c r="M5" i="1"/>
  <c r="M8" i="1"/>
  <c r="M12" i="1"/>
  <c r="P12" i="1" s="1"/>
  <c r="H12" i="31"/>
  <c r="J45" i="9"/>
  <c r="I45" i="9"/>
  <c r="K45" i="9" s="1"/>
  <c r="AK204" i="4"/>
  <c r="AK206" i="4" s="1"/>
  <c r="I188" i="4"/>
  <c r="I200" i="4"/>
  <c r="Q200" i="4"/>
  <c r="Q202" i="4" s="1"/>
  <c r="Q188" i="4"/>
  <c r="J46" i="9"/>
  <c r="I46" i="9"/>
  <c r="K46" i="9" s="1"/>
  <c r="M200" i="4"/>
  <c r="M202" i="4" s="1"/>
  <c r="M188" i="4"/>
  <c r="AK36" i="4"/>
  <c r="H38" i="31" s="1"/>
  <c r="U15" i="1"/>
  <c r="S15" i="1"/>
  <c r="I5" i="1" l="1"/>
  <c r="S203" i="29"/>
  <c r="M203" i="29"/>
  <c r="S200" i="29"/>
  <c r="M200" i="29"/>
  <c r="S204" i="29"/>
  <c r="M204" i="29"/>
  <c r="S205" i="29"/>
  <c r="M205" i="29"/>
  <c r="S201" i="29"/>
  <c r="M201" i="29"/>
  <c r="M206" i="29"/>
  <c r="S206" i="29"/>
  <c r="S199" i="29"/>
  <c r="M199" i="29"/>
  <c r="S202" i="29"/>
  <c r="M202" i="29"/>
  <c r="C40" i="22"/>
  <c r="F14" i="31"/>
  <c r="AT24" i="31"/>
  <c r="AU24" i="31" s="1"/>
  <c r="AV24" i="31" s="1"/>
  <c r="E40" i="22"/>
  <c r="Q5" i="1"/>
  <c r="AS8" i="31" s="1"/>
  <c r="AT8" i="31" s="1"/>
  <c r="I201" i="4"/>
  <c r="I202" i="4" s="1"/>
  <c r="AK187" i="4"/>
  <c r="AK201" i="4" s="1"/>
  <c r="V188" i="4"/>
  <c r="AG188" i="4"/>
  <c r="AB188" i="4"/>
  <c r="V52" i="4"/>
  <c r="V212" i="4" s="1"/>
  <c r="V223" i="4" s="1"/>
  <c r="V225" i="4" s="1"/>
  <c r="S58" i="29"/>
  <c r="M58" i="29"/>
  <c r="S63" i="29"/>
  <c r="M63" i="29"/>
  <c r="S62" i="29"/>
  <c r="M62" i="29"/>
  <c r="S64" i="29"/>
  <c r="M64" i="29"/>
  <c r="S61" i="29"/>
  <c r="M61" i="29"/>
  <c r="S59" i="29"/>
  <c r="M59" i="29"/>
  <c r="S60" i="29"/>
  <c r="M60" i="29"/>
  <c r="S55" i="29"/>
  <c r="M55" i="29"/>
  <c r="S56" i="29"/>
  <c r="M56" i="29"/>
  <c r="P50" i="4"/>
  <c r="P49" i="4"/>
  <c r="P51" i="4"/>
  <c r="S51" i="29"/>
  <c r="M51" i="29"/>
  <c r="S57" i="29"/>
  <c r="M57" i="29"/>
  <c r="S52" i="29"/>
  <c r="M52" i="29"/>
  <c r="S53" i="29"/>
  <c r="M53" i="29"/>
  <c r="S54" i="29"/>
  <c r="M54" i="29"/>
  <c r="AD188" i="4"/>
  <c r="J48" i="4"/>
  <c r="J52" i="4" s="1"/>
  <c r="J212" i="4" s="1"/>
  <c r="J220" i="4" s="1"/>
  <c r="J222" i="4" s="1"/>
  <c r="J31" i="4"/>
  <c r="J186" i="4" s="1"/>
  <c r="R6" i="1"/>
  <c r="S6" i="1" s="1"/>
  <c r="H40" i="22"/>
  <c r="AB52" i="4"/>
  <c r="AB212" i="4" s="1"/>
  <c r="Y4" i="17" s="1"/>
  <c r="S200" i="4"/>
  <c r="S202" i="4" s="1"/>
  <c r="W51" i="4"/>
  <c r="Y49" i="4"/>
  <c r="W50" i="4"/>
  <c r="I6" i="1"/>
  <c r="Y51" i="4"/>
  <c r="AC49" i="4"/>
  <c r="P9" i="1"/>
  <c r="P4" i="1"/>
  <c r="S52" i="4"/>
  <c r="S212" i="4" s="1"/>
  <c r="S216" i="4" s="1"/>
  <c r="AF49" i="4"/>
  <c r="T57" i="4"/>
  <c r="AF42" i="4"/>
  <c r="T50" i="4"/>
  <c r="T51" i="4"/>
  <c r="AF50" i="4"/>
  <c r="T49" i="4"/>
  <c r="Y31" i="4"/>
  <c r="Y186" i="4" s="1"/>
  <c r="Y48" i="4"/>
  <c r="AF51" i="4"/>
  <c r="W48" i="4"/>
  <c r="W31" i="4"/>
  <c r="W186" i="4" s="1"/>
  <c r="W49" i="4"/>
  <c r="P8" i="1"/>
  <c r="Z42" i="4"/>
  <c r="Z51" i="4"/>
  <c r="Z49" i="4"/>
  <c r="T31" i="4"/>
  <c r="T186" i="4" s="1"/>
  <c r="T48" i="4"/>
  <c r="U57" i="4"/>
  <c r="U59" i="4" s="1"/>
  <c r="P5" i="1"/>
  <c r="AC51" i="4"/>
  <c r="AC42" i="4"/>
  <c r="Y42" i="4"/>
  <c r="W42" i="4"/>
  <c r="AF48" i="4"/>
  <c r="AF31" i="4"/>
  <c r="AF186" i="4" s="1"/>
  <c r="T42" i="4"/>
  <c r="AC31" i="4"/>
  <c r="AC186" i="4" s="1"/>
  <c r="AC48" i="4"/>
  <c r="U4" i="1"/>
  <c r="S32" i="29"/>
  <c r="M32" i="29"/>
  <c r="S31" i="29"/>
  <c r="M31" i="29"/>
  <c r="V16" i="29"/>
  <c r="V14" i="29"/>
  <c r="V13" i="29"/>
  <c r="V12" i="29"/>
  <c r="V7" i="29"/>
  <c r="V8" i="29"/>
  <c r="V15" i="29"/>
  <c r="V9" i="29"/>
  <c r="V10" i="29"/>
  <c r="V11" i="29"/>
  <c r="M220" i="4"/>
  <c r="M222" i="4" s="1"/>
  <c r="G41" i="22"/>
  <c r="B47" i="22" s="1"/>
  <c r="M216" i="4"/>
  <c r="J67" i="1"/>
  <c r="T6" i="1"/>
  <c r="G42" i="22"/>
  <c r="B48" i="22" s="1"/>
  <c r="H39" i="22"/>
  <c r="B45" i="22" s="1"/>
  <c r="AL355" i="4"/>
  <c r="F40" i="31" s="1"/>
  <c r="AP6" i="29"/>
  <c r="AQ5" i="29"/>
  <c r="AO5" i="29"/>
  <c r="J16" i="31"/>
  <c r="L16" i="31" s="1"/>
  <c r="P16" i="31"/>
  <c r="L6" i="1"/>
  <c r="Q14" i="1"/>
  <c r="U14" i="1" s="1"/>
  <c r="L223" i="4"/>
  <c r="L225" i="4" s="1"/>
  <c r="H32" i="31"/>
  <c r="L32" i="31" s="1"/>
  <c r="G14" i="1"/>
  <c r="S12" i="1"/>
  <c r="H30" i="31"/>
  <c r="L30" i="31" s="1"/>
  <c r="Q13" i="1"/>
  <c r="G13" i="1"/>
  <c r="I13" i="1"/>
  <c r="C7" i="17"/>
  <c r="C6" i="17"/>
  <c r="AH8" i="17"/>
  <c r="B85" i="1"/>
  <c r="AJ269" i="4"/>
  <c r="D7" i="17"/>
  <c r="D6" i="17"/>
  <c r="F220" i="4"/>
  <c r="F222" i="4" s="1"/>
  <c r="G223" i="4"/>
  <c r="G225" i="4" s="1"/>
  <c r="I67" i="1"/>
  <c r="D4" i="17"/>
  <c r="M223" i="4"/>
  <c r="M225" i="4" s="1"/>
  <c r="F223" i="4"/>
  <c r="F225" i="4" s="1"/>
  <c r="AD4" i="17"/>
  <c r="C4" i="17"/>
  <c r="C67" i="1"/>
  <c r="G216" i="4"/>
  <c r="H216" i="4"/>
  <c r="AG216" i="4"/>
  <c r="H223" i="4"/>
  <c r="H225" i="4" s="1"/>
  <c r="AF4" i="17"/>
  <c r="H67" i="1"/>
  <c r="AG223" i="4"/>
  <c r="AG225" i="4" s="1"/>
  <c r="E4" i="17"/>
  <c r="I220" i="4"/>
  <c r="I222" i="4" s="1"/>
  <c r="AI220" i="4"/>
  <c r="AI222" i="4" s="1"/>
  <c r="I216" i="4"/>
  <c r="AI223" i="4"/>
  <c r="AI225" i="4" s="1"/>
  <c r="I223" i="4"/>
  <c r="I225" i="4" s="1"/>
  <c r="H220" i="4"/>
  <c r="H222" i="4" s="1"/>
  <c r="K220" i="4"/>
  <c r="K222" i="4" s="1"/>
  <c r="AG220" i="4"/>
  <c r="AG222" i="4" s="1"/>
  <c r="AI216" i="4"/>
  <c r="AE4" i="17"/>
  <c r="G220" i="4"/>
  <c r="G222" i="4" s="1"/>
  <c r="Q220" i="4"/>
  <c r="Q222" i="4" s="1"/>
  <c r="F67" i="1"/>
  <c r="K216" i="4"/>
  <c r="Q223" i="4"/>
  <c r="Q225" i="4" s="1"/>
  <c r="AI67" i="1"/>
  <c r="AH223" i="4"/>
  <c r="AH225" i="4" s="1"/>
  <c r="AH220" i="4"/>
  <c r="AH222" i="4" s="1"/>
  <c r="K223" i="4"/>
  <c r="K225" i="4" s="1"/>
  <c r="Q216" i="4"/>
  <c r="F12" i="31"/>
  <c r="D6" i="1"/>
  <c r="AL115" i="4" s="1"/>
  <c r="AB4" i="17"/>
  <c r="AE216" i="4"/>
  <c r="AE220" i="4"/>
  <c r="AE222" i="4" s="1"/>
  <c r="AE223" i="4"/>
  <c r="AE225" i="4" s="1"/>
  <c r="N4" i="17"/>
  <c r="L67" i="1"/>
  <c r="L4" i="17"/>
  <c r="AJ347" i="4"/>
  <c r="AJ353" i="4"/>
  <c r="L216" i="4"/>
  <c r="O220" i="4"/>
  <c r="O222" i="4" s="1"/>
  <c r="O216" i="4"/>
  <c r="L220" i="4"/>
  <c r="L222" i="4" s="1"/>
  <c r="AS7" i="31"/>
  <c r="AT7" i="31" s="1"/>
  <c r="AA4" i="17"/>
  <c r="AD216" i="4"/>
  <c r="AD223" i="4"/>
  <c r="AD225" i="4" s="1"/>
  <c r="AE67" i="1"/>
  <c r="AD220" i="4"/>
  <c r="AD222" i="4" s="1"/>
  <c r="M6" i="1"/>
  <c r="K4" i="17"/>
  <c r="N223" i="4"/>
  <c r="N225" i="4" s="1"/>
  <c r="N216" i="4"/>
  <c r="K67" i="1"/>
  <c r="N220" i="4"/>
  <c r="N222" i="4" s="1"/>
  <c r="AJ355" i="4"/>
  <c r="AJ223" i="4"/>
  <c r="AJ225" i="4" s="1"/>
  <c r="AJ220" i="4"/>
  <c r="AJ222" i="4" s="1"/>
  <c r="AJ216" i="4"/>
  <c r="AK67" i="1"/>
  <c r="AG4" i="17"/>
  <c r="B46" i="22" l="1"/>
  <c r="Q6" i="1"/>
  <c r="U6" i="1" s="1"/>
  <c r="U5" i="1"/>
  <c r="S4" i="17"/>
  <c r="V216" i="4"/>
  <c r="W67" i="1"/>
  <c r="V220" i="4"/>
  <c r="V222" i="4" s="1"/>
  <c r="J223" i="4"/>
  <c r="J225" i="4" s="1"/>
  <c r="G4" i="17"/>
  <c r="G67" i="1"/>
  <c r="AB220" i="4"/>
  <c r="AB222" i="4" s="1"/>
  <c r="J216" i="4"/>
  <c r="P31" i="4"/>
  <c r="P186" i="4" s="1"/>
  <c r="P48" i="4"/>
  <c r="P52" i="4" s="1"/>
  <c r="P212" i="4" s="1"/>
  <c r="AB216" i="4"/>
  <c r="AC67" i="1"/>
  <c r="J188" i="4"/>
  <c r="J200" i="4"/>
  <c r="J202" i="4" s="1"/>
  <c r="AB223" i="4"/>
  <c r="AB225" i="4" s="1"/>
  <c r="X51" i="4"/>
  <c r="X49" i="4"/>
  <c r="X50" i="4"/>
  <c r="S223" i="4"/>
  <c r="S225" i="4" s="1"/>
  <c r="T67" i="1"/>
  <c r="U50" i="4"/>
  <c r="P4" i="17"/>
  <c r="Y52" i="4"/>
  <c r="Y212" i="4" s="1"/>
  <c r="Y220" i="4" s="1"/>
  <c r="Y222" i="4" s="1"/>
  <c r="U51" i="4"/>
  <c r="S220" i="4"/>
  <c r="S222" i="4" s="1"/>
  <c r="W52" i="4"/>
  <c r="W212" i="4" s="1"/>
  <c r="T4" i="17" s="1"/>
  <c r="AC52" i="4"/>
  <c r="AC212" i="4" s="1"/>
  <c r="W188" i="4"/>
  <c r="W200" i="4"/>
  <c r="W202" i="4" s="1"/>
  <c r="AC200" i="4"/>
  <c r="AC202" i="4" s="1"/>
  <c r="AC188" i="4"/>
  <c r="T52" i="4"/>
  <c r="T212" i="4" s="1"/>
  <c r="AF200" i="4"/>
  <c r="AF202" i="4" s="1"/>
  <c r="AF188" i="4"/>
  <c r="Y200" i="4"/>
  <c r="Y202" i="4" s="1"/>
  <c r="Y188" i="4"/>
  <c r="AF52" i="4"/>
  <c r="AF212" i="4" s="1"/>
  <c r="T188" i="4"/>
  <c r="T200" i="4"/>
  <c r="T202" i="4" s="1"/>
  <c r="Z50" i="4"/>
  <c r="U42" i="4"/>
  <c r="T59" i="4"/>
  <c r="AK57" i="4"/>
  <c r="AK59" i="4" s="1"/>
  <c r="Z31" i="4"/>
  <c r="Z186" i="4" s="1"/>
  <c r="Z48" i="4"/>
  <c r="U48" i="4"/>
  <c r="U31" i="4"/>
  <c r="U186" i="4" s="1"/>
  <c r="P6" i="1"/>
  <c r="U49" i="4"/>
  <c r="S14" i="1"/>
  <c r="AO6" i="29"/>
  <c r="AP7" i="29"/>
  <c r="AQ6" i="29"/>
  <c r="AH7" i="17"/>
  <c r="AH6" i="17"/>
  <c r="S13" i="1"/>
  <c r="U13" i="1"/>
  <c r="AL116" i="4"/>
  <c r="AL127" i="4"/>
  <c r="AL128" i="4"/>
  <c r="AL117" i="4"/>
  <c r="F16" i="31"/>
  <c r="AL129" i="4"/>
  <c r="AV4" i="31"/>
  <c r="AX14" i="31" s="1"/>
  <c r="H40" i="31"/>
  <c r="J62" i="13" l="1"/>
  <c r="L66" i="13" s="1"/>
  <c r="P216" i="4"/>
  <c r="Q67" i="1"/>
  <c r="P223" i="4"/>
  <c r="P225" i="4" s="1"/>
  <c r="P220" i="4"/>
  <c r="P222" i="4" s="1"/>
  <c r="M4" i="17"/>
  <c r="P200" i="4"/>
  <c r="P202" i="4" s="1"/>
  <c r="P188" i="4"/>
  <c r="R49" i="4"/>
  <c r="R50" i="4"/>
  <c r="R51" i="4"/>
  <c r="R48" i="4"/>
  <c r="R31" i="4"/>
  <c r="X31" i="4"/>
  <c r="X186" i="4" s="1"/>
  <c r="X48" i="4"/>
  <c r="X52" i="4" s="1"/>
  <c r="X212" i="4" s="1"/>
  <c r="Y223" i="4"/>
  <c r="Y225" i="4" s="1"/>
  <c r="Z67" i="1"/>
  <c r="Y216" i="4"/>
  <c r="V4" i="17"/>
  <c r="U52" i="4"/>
  <c r="U212" i="4" s="1"/>
  <c r="V67" i="1" s="1"/>
  <c r="Z52" i="4"/>
  <c r="Z212" i="4" s="1"/>
  <c r="Z220" i="4" s="1"/>
  <c r="Z222" i="4" s="1"/>
  <c r="W216" i="4"/>
  <c r="W220" i="4"/>
  <c r="W222" i="4" s="1"/>
  <c r="X67" i="1"/>
  <c r="W223" i="4"/>
  <c r="W225" i="4" s="1"/>
  <c r="U200" i="4"/>
  <c r="U202" i="4" s="1"/>
  <c r="U188" i="4"/>
  <c r="Z200" i="4"/>
  <c r="Z202" i="4" s="1"/>
  <c r="Z188" i="4"/>
  <c r="T223" i="4"/>
  <c r="T220" i="4"/>
  <c r="T222" i="4" s="1"/>
  <c r="U67" i="1"/>
  <c r="Q4" i="17"/>
  <c r="T216" i="4"/>
  <c r="AD67" i="1"/>
  <c r="AC223" i="4"/>
  <c r="AC225" i="4" s="1"/>
  <c r="Z4" i="17"/>
  <c r="AC216" i="4"/>
  <c r="AC220" i="4"/>
  <c r="AC222" i="4" s="1"/>
  <c r="AF223" i="4"/>
  <c r="AF225" i="4" s="1"/>
  <c r="AG67" i="1"/>
  <c r="AC4" i="17"/>
  <c r="AF220" i="4"/>
  <c r="AF222" i="4" s="1"/>
  <c r="AF216" i="4"/>
  <c r="V20" i="29"/>
  <c r="V17" i="29"/>
  <c r="V19" i="29"/>
  <c r="V21" i="29"/>
  <c r="V18" i="29"/>
  <c r="AP8" i="29"/>
  <c r="AQ7" i="29"/>
  <c r="AO7" i="29"/>
  <c r="AV8" i="31"/>
  <c r="AX17" i="31"/>
  <c r="K59" i="13" l="1"/>
  <c r="R52" i="4"/>
  <c r="R212" i="4" s="1"/>
  <c r="R186" i="4"/>
  <c r="R200" i="4" s="1"/>
  <c r="R202" i="4" s="1"/>
  <c r="Z216" i="4"/>
  <c r="W4" i="17"/>
  <c r="Y67" i="1"/>
  <c r="U4" i="17"/>
  <c r="X220" i="4"/>
  <c r="X222" i="4" s="1"/>
  <c r="X216" i="4"/>
  <c r="X223" i="4"/>
  <c r="X225" i="4" s="1"/>
  <c r="AA67" i="1"/>
  <c r="X188" i="4"/>
  <c r="X200" i="4"/>
  <c r="X202" i="4" s="1"/>
  <c r="Z223" i="4"/>
  <c r="Z225" i="4" s="1"/>
  <c r="R4" i="17"/>
  <c r="U216" i="4"/>
  <c r="U220" i="4"/>
  <c r="U222" i="4" s="1"/>
  <c r="U223" i="4"/>
  <c r="U225" i="4" s="1"/>
  <c r="T225" i="4"/>
  <c r="AP9" i="29"/>
  <c r="AO8" i="29"/>
  <c r="AQ8" i="29"/>
  <c r="R188" i="4" l="1"/>
  <c r="O4" i="17"/>
  <c r="R220" i="4"/>
  <c r="R222" i="4" s="1"/>
  <c r="R223" i="4"/>
  <c r="R225" i="4" s="1"/>
  <c r="S67" i="1"/>
  <c r="R216" i="4"/>
  <c r="V2" i="29"/>
  <c r="AQ9" i="29"/>
  <c r="AP10" i="29"/>
  <c r="AO9" i="29"/>
  <c r="X62" i="13" l="1"/>
  <c r="Y59" i="13" s="1"/>
  <c r="Q62" i="13"/>
  <c r="R59" i="13" s="1"/>
  <c r="AK40" i="4"/>
  <c r="AK39" i="4"/>
  <c r="AK41" i="4"/>
  <c r="AQ10" i="29"/>
  <c r="AP11" i="29"/>
  <c r="AO10" i="29"/>
  <c r="AA42" i="4" l="1"/>
  <c r="AK38" i="4"/>
  <c r="AK42" i="4" s="1"/>
  <c r="H42" i="31" s="1"/>
  <c r="AQ11" i="29"/>
  <c r="AP12" i="29"/>
  <c r="AO11" i="29"/>
  <c r="AM42" i="4" l="1"/>
  <c r="F42" i="31" s="1"/>
  <c r="AN42" i="4"/>
  <c r="AP13" i="29"/>
  <c r="AQ12" i="29"/>
  <c r="AO12" i="29"/>
  <c r="AP14" i="29" l="1"/>
  <c r="AQ13" i="29"/>
  <c r="AO13" i="29"/>
  <c r="AP15" i="29" l="1"/>
  <c r="AQ14" i="29"/>
  <c r="AO14" i="29"/>
  <c r="AQ15" i="29" l="1"/>
  <c r="AO15" i="29"/>
  <c r="AP16" i="29"/>
  <c r="AQ16" i="29" l="1"/>
  <c r="AO16" i="29"/>
  <c r="AP17" i="29"/>
  <c r="AP18" i="29" l="1"/>
  <c r="AQ17" i="29"/>
  <c r="AO17" i="29"/>
  <c r="AP19" i="29" l="1"/>
  <c r="AO18" i="29"/>
  <c r="AQ18" i="29"/>
  <c r="AO19" i="29" l="1"/>
  <c r="AQ19" i="29"/>
  <c r="AP20" i="29"/>
  <c r="AP21" i="29" l="1"/>
  <c r="AO20" i="29"/>
  <c r="AQ20" i="29"/>
  <c r="AP22" i="29" l="1"/>
  <c r="AO21" i="29"/>
  <c r="AQ21" i="29"/>
  <c r="AP23" i="29" l="1"/>
  <c r="AQ22" i="29"/>
  <c r="AO22" i="29"/>
  <c r="AO23" i="29" l="1"/>
  <c r="AP24" i="29"/>
  <c r="AQ23" i="29"/>
  <c r="AO24" i="29" l="1"/>
  <c r="AP25" i="29"/>
  <c r="AQ24" i="29"/>
  <c r="AQ25" i="29" l="1"/>
  <c r="AO25" i="29"/>
  <c r="AP26" i="29"/>
  <c r="AP27" i="29" l="1"/>
  <c r="AQ26" i="29"/>
  <c r="AO26" i="29"/>
  <c r="AQ27" i="29" l="1"/>
  <c r="AP28" i="29"/>
  <c r="AO27" i="29"/>
  <c r="AQ28" i="29" l="1"/>
  <c r="AO28" i="29"/>
  <c r="AP29" i="29"/>
  <c r="AO29" i="29" l="1"/>
  <c r="AQ29" i="29"/>
  <c r="AP30" i="29"/>
  <c r="AQ30" i="29" l="1"/>
  <c r="AP31" i="29"/>
  <c r="AO30" i="29"/>
  <c r="AQ31" i="29" l="1"/>
  <c r="AO31" i="29"/>
  <c r="AP32" i="29"/>
  <c r="AO32" i="29" l="1"/>
  <c r="AQ32" i="29"/>
  <c r="V148" i="29" l="1"/>
  <c r="V184" i="29"/>
  <c r="V139" i="29"/>
  <c r="V129" i="29"/>
  <c r="V135" i="29"/>
  <c r="V166" i="29"/>
  <c r="V147" i="29"/>
  <c r="V188" i="29"/>
  <c r="V160" i="29"/>
  <c r="V169" i="29"/>
  <c r="V159" i="29"/>
  <c r="V127" i="29"/>
  <c r="V134" i="29"/>
  <c r="V187" i="29"/>
  <c r="V156" i="29"/>
  <c r="V161" i="29"/>
  <c r="V132" i="29"/>
  <c r="V170" i="29"/>
  <c r="V149" i="29"/>
  <c r="V143" i="29"/>
  <c r="V130" i="29"/>
  <c r="V140" i="29"/>
  <c r="V162" i="29"/>
  <c r="V185" i="29"/>
  <c r="V150" i="29"/>
  <c r="V126" i="29"/>
  <c r="V146" i="29"/>
  <c r="V180" i="29"/>
  <c r="V157" i="29"/>
  <c r="V138" i="29"/>
  <c r="V131" i="29"/>
  <c r="V173" i="29"/>
  <c r="V142" i="29"/>
  <c r="V145" i="29"/>
  <c r="V189" i="29"/>
  <c r="V151" i="29"/>
  <c r="V128" i="29"/>
  <c r="V168" i="29"/>
  <c r="V144" i="29"/>
  <c r="V181" i="29"/>
  <c r="V179" i="29"/>
  <c r="V172" i="29"/>
  <c r="V176" i="29"/>
  <c r="V183" i="29"/>
  <c r="V171" i="29"/>
  <c r="V163" i="29"/>
  <c r="V155" i="29"/>
  <c r="V158" i="29"/>
  <c r="V136" i="29"/>
  <c r="V177" i="29"/>
  <c r="V186" i="29"/>
  <c r="V154" i="29"/>
  <c r="V137" i="29"/>
  <c r="V164" i="29"/>
  <c r="V153" i="29"/>
  <c r="V190" i="29"/>
  <c r="V141" i="29"/>
  <c r="V178" i="29"/>
  <c r="V167" i="29"/>
  <c r="V133" i="29"/>
  <c r="V152" i="29"/>
  <c r="V182" i="29"/>
  <c r="V165" i="29"/>
  <c r="V174" i="29"/>
  <c r="V175" i="29"/>
  <c r="V122" i="29"/>
  <c r="V124" i="29"/>
  <c r="V123" i="29"/>
  <c r="V125" i="29"/>
  <c r="V59" i="29"/>
  <c r="V118" i="29"/>
  <c r="V107" i="29"/>
  <c r="V78" i="29"/>
  <c r="V105" i="29"/>
  <c r="V106" i="29"/>
  <c r="V90" i="29"/>
  <c r="V39" i="29"/>
  <c r="V45" i="29"/>
  <c r="V64" i="29"/>
  <c r="V113" i="29"/>
  <c r="V35" i="29"/>
  <c r="V42" i="29"/>
  <c r="V97" i="29"/>
  <c r="V110" i="29"/>
  <c r="V31" i="29"/>
  <c r="V70" i="29"/>
  <c r="V88" i="29"/>
  <c r="V117" i="29"/>
  <c r="V47" i="29"/>
  <c r="V63" i="29"/>
  <c r="V22" i="29"/>
  <c r="V55" i="29"/>
  <c r="V24" i="29"/>
  <c r="V51" i="29"/>
  <c r="V56" i="29"/>
  <c r="V114" i="29"/>
  <c r="V72" i="29"/>
  <c r="V62" i="29"/>
  <c r="V61" i="29"/>
  <c r="V34" i="29"/>
  <c r="V121" i="29"/>
  <c r="V98" i="29"/>
  <c r="V112" i="29"/>
  <c r="V26" i="29"/>
  <c r="V23" i="29"/>
  <c r="V84" i="29"/>
  <c r="V81" i="29"/>
  <c r="V103" i="29"/>
  <c r="V86" i="29"/>
  <c r="V57" i="29"/>
  <c r="V44" i="29"/>
  <c r="V100" i="29"/>
  <c r="V99" i="29"/>
  <c r="V91" i="29"/>
  <c r="V77" i="29"/>
  <c r="V104" i="29"/>
  <c r="V65" i="29"/>
  <c r="V94" i="29"/>
  <c r="V36" i="29"/>
  <c r="V43" i="29"/>
  <c r="V69" i="29"/>
  <c r="V101" i="29"/>
  <c r="V95" i="29"/>
  <c r="V37" i="29"/>
  <c r="V32" i="29"/>
  <c r="V41" i="29"/>
  <c r="V25" i="29"/>
  <c r="V68" i="29"/>
  <c r="V60" i="29"/>
  <c r="V54" i="29"/>
  <c r="V33" i="29"/>
  <c r="V93" i="29"/>
  <c r="V116" i="29"/>
  <c r="V73" i="29"/>
  <c r="V79" i="29"/>
  <c r="V58" i="29"/>
  <c r="V53" i="29"/>
  <c r="V48" i="29"/>
  <c r="V27" i="29"/>
  <c r="V28" i="29"/>
  <c r="V80" i="29"/>
  <c r="V40" i="29"/>
  <c r="V67" i="29"/>
  <c r="V75" i="29"/>
  <c r="V52" i="29"/>
  <c r="V29" i="29"/>
  <c r="V87" i="29"/>
  <c r="V82" i="29"/>
  <c r="V74" i="29"/>
  <c r="V46" i="29"/>
  <c r="V119" i="29"/>
  <c r="V120" i="29"/>
  <c r="V50" i="29"/>
  <c r="V96" i="29"/>
  <c r="V115" i="29"/>
  <c r="V109" i="29"/>
  <c r="V102" i="29"/>
  <c r="V85" i="29"/>
  <c r="V30" i="29"/>
  <c r="V38" i="29"/>
  <c r="V83" i="29"/>
  <c r="V111" i="29"/>
  <c r="V89" i="29"/>
  <c r="V66" i="29"/>
  <c r="V49" i="29"/>
  <c r="V71" i="29"/>
  <c r="V108" i="29"/>
  <c r="V92" i="29"/>
  <c r="V76" i="29"/>
  <c r="W56" i="25"/>
  <c r="W21" i="25"/>
  <c r="W60" i="25"/>
  <c r="W38" i="25"/>
  <c r="W65" i="25"/>
  <c r="W18" i="25"/>
  <c r="W26" i="25"/>
  <c r="W27" i="25"/>
  <c r="W43" i="25"/>
  <c r="W67" i="25"/>
  <c r="W66" i="25"/>
  <c r="W63" i="25"/>
  <c r="W4" i="25"/>
  <c r="W64" i="25"/>
  <c r="W34" i="25"/>
  <c r="W39" i="25"/>
  <c r="W8" i="25"/>
  <c r="W7" i="25"/>
  <c r="W62" i="25"/>
  <c r="W9" i="25"/>
  <c r="W48" i="25"/>
  <c r="W24" i="25"/>
  <c r="W25" i="25"/>
  <c r="W52" i="25"/>
  <c r="W44" i="25"/>
  <c r="W55" i="25"/>
  <c r="W45" i="25"/>
  <c r="W57" i="25"/>
  <c r="W41" i="25"/>
  <c r="W50" i="25"/>
  <c r="W15" i="25"/>
  <c r="W22" i="25"/>
  <c r="W49" i="25"/>
  <c r="W14" i="25"/>
  <c r="W13" i="25"/>
  <c r="W53" i="25"/>
  <c r="W33" i="25"/>
  <c r="W29" i="25"/>
  <c r="W54" i="25"/>
  <c r="W42" i="25"/>
  <c r="W16" i="25"/>
  <c r="W28" i="25"/>
  <c r="W12" i="25"/>
  <c r="W61" i="25"/>
  <c r="W40" i="25"/>
  <c r="W17" i="25"/>
  <c r="W19" i="25"/>
  <c r="W51" i="25"/>
  <c r="W20" i="25"/>
  <c r="W11" i="25"/>
  <c r="W30" i="25"/>
  <c r="W36" i="25"/>
  <c r="W3" i="25"/>
  <c r="W2" i="25"/>
  <c r="W35" i="25"/>
  <c r="W46" i="25"/>
  <c r="W31" i="25"/>
  <c r="W23" i="25"/>
  <c r="W5" i="25"/>
  <c r="W6" i="25"/>
  <c r="W58" i="25"/>
  <c r="W10" i="25"/>
  <c r="W47" i="25"/>
  <c r="W37" i="25"/>
  <c r="W32" i="25"/>
  <c r="W59" i="25"/>
  <c r="AL35" i="4" l="1"/>
  <c r="AL51" i="4" s="1"/>
  <c r="AL31" i="4"/>
  <c r="AL33" i="4"/>
  <c r="AL49" i="4" s="1"/>
  <c r="AL32" i="4"/>
  <c r="AL48" i="4" s="1"/>
  <c r="AL52" i="4" l="1"/>
  <c r="AA49" i="4"/>
  <c r="AK49" i="4" s="1"/>
  <c r="AK28" i="4"/>
  <c r="AA50" i="4"/>
  <c r="AK50" i="4" s="1"/>
  <c r="AK29" i="4"/>
  <c r="AA48" i="4"/>
  <c r="AA31" i="4"/>
  <c r="AK27" i="4"/>
  <c r="AA51" i="4"/>
  <c r="AK30" i="4"/>
  <c r="AK51" i="4" l="1"/>
  <c r="AM52" i="4"/>
  <c r="AA186" i="4"/>
  <c r="AA188" i="4" s="1"/>
  <c r="AM31" i="4"/>
  <c r="F46" i="31" s="1"/>
  <c r="AK31" i="4"/>
  <c r="H46" i="31" s="1"/>
  <c r="AA52" i="4"/>
  <c r="AA212" i="4" s="1"/>
  <c r="AM212" i="4" s="1"/>
  <c r="AK48" i="4"/>
  <c r="AA200" i="4" l="1"/>
  <c r="AA202" i="4" s="1"/>
  <c r="AK186" i="4"/>
  <c r="AK188" i="4" s="1"/>
  <c r="AK52" i="4"/>
  <c r="AA223" i="4"/>
  <c r="AB67" i="1"/>
  <c r="AA216" i="4"/>
  <c r="AA220" i="4"/>
  <c r="AA222" i="4" s="1"/>
  <c r="X4" i="17"/>
  <c r="AH4" i="17" s="1"/>
  <c r="AK212" i="4"/>
  <c r="AK200" i="4" l="1"/>
  <c r="AK202" i="4" s="1"/>
  <c r="AK220" i="4"/>
  <c r="AK222" i="4" s="1"/>
  <c r="AK225" i="4" s="1"/>
  <c r="AK216" i="4"/>
  <c r="AE62" i="13"/>
  <c r="AF59" i="13" s="1"/>
  <c r="AK223" i="4"/>
  <c r="AA2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SEVIANA DWI HUSNITA</author>
  </authors>
  <commentList>
    <comment ref="AW9" authorId="0" shapeId="0" xr:uid="{B1CDF95F-CA6C-417B-B13C-5FD2F43C145B}">
      <text>
        <r>
          <rPr>
            <b/>
            <sz val="9"/>
            <rFont val="Calibri"/>
            <family val="2"/>
            <scheme val="minor"/>
          </rPr>
          <t>SEVIANA DWI HUSNITA:</t>
        </r>
        <r>
          <rPr>
            <sz val="9"/>
            <rFont val="Calibri"/>
            <family val="2"/>
            <scheme val="minor"/>
          </rPr>
          <t xml:space="preserve">
Ganti klo ada outlook baru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SEVIANA DWI HUSNITA</author>
  </authors>
  <commentList>
    <comment ref="E241" authorId="0" shapeId="0" xr:uid="{00000000-0006-0000-0200-000001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F241" authorId="0" shapeId="0" xr:uid="{00000000-0006-0000-0200-000002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G241" authorId="0" shapeId="0" xr:uid="{00000000-0006-0000-0200-000003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H241" authorId="0" shapeId="0" xr:uid="{00000000-0006-0000-0200-000004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I241" authorId="0" shapeId="0" xr:uid="{00000000-0006-0000-0200-000005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J241" authorId="0" shapeId="0" xr:uid="{00000000-0006-0000-0200-000006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K241" authorId="0" shapeId="0" xr:uid="{00000000-0006-0000-0200-000007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L241" authorId="0" shapeId="0" xr:uid="{00000000-0006-0000-0200-000008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M241" authorId="0" shapeId="0" xr:uid="{00000000-0006-0000-0200-000009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N241" authorId="0" shapeId="0" xr:uid="{00000000-0006-0000-0200-00000A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O241" authorId="0" shapeId="0" xr:uid="{00000000-0006-0000-0200-00000B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P241" authorId="0" shapeId="0" xr:uid="{00000000-0006-0000-0200-00000C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Q241" authorId="0" shapeId="0" xr:uid="{00000000-0006-0000-0200-00000D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R241" authorId="0" shapeId="0" xr:uid="{00000000-0006-0000-0200-00000E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S241" authorId="0" shapeId="0" xr:uid="{00000000-0006-0000-0200-00000F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T241" authorId="0" shapeId="0" xr:uid="{00000000-0006-0000-0200-000010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U241" authorId="0" shapeId="0" xr:uid="{00000000-0006-0000-0200-000011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V241" authorId="0" shapeId="0" xr:uid="{00000000-0006-0000-0200-000012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W241" authorId="0" shapeId="0" xr:uid="{00000000-0006-0000-0200-000013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X241" authorId="0" shapeId="0" xr:uid="{00000000-0006-0000-0200-000014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Y241" authorId="0" shapeId="0" xr:uid="{00000000-0006-0000-0200-000015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Z241" authorId="0" shapeId="0" xr:uid="{00000000-0006-0000-0200-000016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A241" authorId="0" shapeId="0" xr:uid="{00000000-0006-0000-0200-000017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B241" authorId="0" shapeId="0" xr:uid="{00000000-0006-0000-0200-000018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C241" authorId="0" shapeId="0" xr:uid="{00000000-0006-0000-0200-000019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D241" authorId="0" shapeId="0" xr:uid="{00000000-0006-0000-0200-00001A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E241" authorId="0" shapeId="0" xr:uid="{00000000-0006-0000-0200-00001B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F241" authorId="0" shapeId="0" xr:uid="{00000000-0006-0000-0200-00001C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G241" authorId="0" shapeId="0" xr:uid="{00000000-0006-0000-0200-00001D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H241" authorId="0" shapeId="0" xr:uid="{00000000-0006-0000-0200-00001E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I241" authorId="0" shapeId="0" xr:uid="{00000000-0006-0000-0200-00001F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20 Hours</t>
        </r>
      </text>
    </comment>
    <comment ref="AJ241" authorId="0" shapeId="0" xr:uid="{00000000-0006-0000-0200-000020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PLAN Dredging Activity</t>
        </r>
      </text>
    </comment>
    <comment ref="E242" authorId="0" shapeId="0" xr:uid="{00000000-0006-0000-0200-000021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24 Hours -- 4 Trips</t>
        </r>
      </text>
    </comment>
    <comment ref="F242" authorId="0" shapeId="0" xr:uid="{00000000-0006-0000-0200-000022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24 Hours -- 4 Trips</t>
        </r>
      </text>
    </comment>
    <comment ref="G242" authorId="0" shapeId="0" xr:uid="{00000000-0006-0000-0200-000023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H242" authorId="0" shapeId="0" xr:uid="{00000000-0006-0000-0200-000024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I242" authorId="0" shapeId="0" xr:uid="{00000000-0006-0000-0200-000025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J242" authorId="0" shapeId="0" xr:uid="{00000000-0006-0000-0200-000026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K242" authorId="0" shapeId="0" xr:uid="{00000000-0006-0000-0200-000027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L242" authorId="0" shapeId="0" xr:uid="{00000000-0006-0000-0200-000028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M242" authorId="0" shapeId="0" xr:uid="{00000000-0006-0000-0200-000029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N242" authorId="0" shapeId="0" xr:uid="{00000000-0006-0000-0200-00002A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O242" authorId="0" shapeId="0" xr:uid="{00000000-0006-0000-0200-00002B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P242" authorId="0" shapeId="0" xr:uid="{00000000-0006-0000-0200-00002C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Q242" authorId="0" shapeId="0" xr:uid="{00000000-0006-0000-0200-00002D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R242" authorId="0" shapeId="0" xr:uid="{00000000-0006-0000-0200-00002E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S242" authorId="0" shapeId="0" xr:uid="{00000000-0006-0000-0200-00002F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T242" authorId="0" shapeId="0" xr:uid="{00000000-0006-0000-0200-000030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U242" authorId="0" shapeId="0" xr:uid="{00000000-0006-0000-0200-000031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V242" authorId="0" shapeId="0" xr:uid="{00000000-0006-0000-0200-000032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W242" authorId="0" shapeId="0" xr:uid="{00000000-0006-0000-0200-000033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X242" authorId="0" shapeId="0" xr:uid="{00000000-0006-0000-0200-000034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Y242" authorId="0" shapeId="0" xr:uid="{00000000-0006-0000-0200-000035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Z242" authorId="0" shapeId="0" xr:uid="{00000000-0006-0000-0200-000036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A242" authorId="0" shapeId="0" xr:uid="{00000000-0006-0000-0200-000037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B242" authorId="0" shapeId="0" xr:uid="{00000000-0006-0000-0200-000038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C242" authorId="0" shapeId="0" xr:uid="{00000000-0006-0000-0200-000039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D242" authorId="0" shapeId="0" xr:uid="{00000000-0006-0000-0200-00003A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E242" authorId="0" shapeId="0" xr:uid="{00000000-0006-0000-0200-00003B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F242" authorId="0" shapeId="0" xr:uid="{00000000-0006-0000-0200-00003C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G242" authorId="0" shapeId="0" xr:uid="{00000000-0006-0000-0200-00003D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H242" authorId="0" shapeId="0" xr:uid="{00000000-0006-0000-0200-00003E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I242" authorId="0" shapeId="0" xr:uid="{00000000-0006-0000-0200-00003F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PM all unit</t>
        </r>
      </text>
    </comment>
    <comment ref="AJ242" authorId="0" shapeId="0" xr:uid="{00000000-0006-0000-0200-000040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ACTUAL Dredging Activity</t>
        </r>
      </text>
    </comment>
    <comment ref="C249" authorId="0" shapeId="0" xr:uid="{00000000-0006-0000-0200-000041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Maximal Data Rainfall</t>
        </r>
      </text>
    </comment>
    <comment ref="C256" authorId="0" shapeId="0" xr:uid="{00000000-0006-0000-0200-000042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Maximal Data Rain Duration</t>
        </r>
      </text>
    </comment>
    <comment ref="C263" authorId="0" shapeId="0" xr:uid="{00000000-0006-0000-0200-000043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Maximal Data Rain Slippery</t>
        </r>
      </text>
    </comment>
    <comment ref="C269" authorId="0" shapeId="0" xr:uid="{00000000-0006-0000-0200-000044000000}">
      <text>
        <r>
          <rPr>
            <b/>
            <sz val="9"/>
            <rFont val="Tahoma"/>
            <family val="2"/>
          </rPr>
          <t>SEVIANA DWI HUSNITA:</t>
        </r>
        <r>
          <rPr>
            <sz val="9"/>
            <rFont val="Tahoma"/>
            <family val="2"/>
          </rPr>
          <t xml:space="preserve">
Maximal Data Rain Slippery</t>
        </r>
      </text>
    </comment>
  </commentList>
</comments>
</file>

<file path=xl/sharedStrings.xml><?xml version="1.0" encoding="utf-8"?>
<sst xmlns="http://schemas.openxmlformats.org/spreadsheetml/2006/main" count="3326" uniqueCount="750">
  <si>
    <t>Data Report</t>
  </si>
  <si>
    <t>,</t>
  </si>
  <si>
    <t>Monthly</t>
  </si>
  <si>
    <t>Jan'26</t>
  </si>
  <si>
    <t>Today</t>
  </si>
  <si>
    <t>MTD</t>
  </si>
  <si>
    <t>Plan</t>
  </si>
  <si>
    <t>% Diff</t>
  </si>
  <si>
    <t>Outlook</t>
  </si>
  <si>
    <t>Budget</t>
  </si>
  <si>
    <t>WASTE REMOVAL</t>
  </si>
  <si>
    <t>ROM PRODUCTION</t>
  </si>
  <si>
    <t>SR</t>
  </si>
  <si>
    <t>CRUSHED COAL</t>
  </si>
  <si>
    <t>BARGE LOADING</t>
  </si>
  <si>
    <t>ROM STOCK</t>
  </si>
  <si>
    <t>FC STOCK</t>
  </si>
  <si>
    <t>DATA WEATHER</t>
  </si>
  <si>
    <t>RAINFALL</t>
  </si>
  <si>
    <t>SLIPPERY</t>
  </si>
  <si>
    <t>CONTRACTOR PERFORMANCE</t>
  </si>
  <si>
    <t>TODAY</t>
  </si>
  <si>
    <t>OB</t>
  </si>
  <si>
    <t>UCEX</t>
  </si>
  <si>
    <t>Dist</t>
  </si>
  <si>
    <t>M2W</t>
  </si>
  <si>
    <t>ROM</t>
  </si>
  <si>
    <t>Yesterday</t>
  </si>
  <si>
    <t>Total Month</t>
  </si>
  <si>
    <t xml:space="preserve">YTD </t>
  </si>
  <si>
    <t>Total Year</t>
  </si>
  <si>
    <t>%Diff</t>
  </si>
  <si>
    <t>Actual</t>
  </si>
  <si>
    <t>Act + Outlook</t>
  </si>
  <si>
    <t>Waste removal</t>
  </si>
  <si>
    <t>BCM</t>
  </si>
  <si>
    <t>ROM production</t>
  </si>
  <si>
    <t>Ton</t>
  </si>
  <si>
    <t>Striping Ratio</t>
  </si>
  <si>
    <t>BCM/Ton</t>
  </si>
  <si>
    <t>ROM stock</t>
  </si>
  <si>
    <t>Crushed coal</t>
  </si>
  <si>
    <t>Barge loading</t>
  </si>
  <si>
    <t>F/C stock</t>
  </si>
  <si>
    <t>Uncovered Coal</t>
  </si>
  <si>
    <t>Rain fall</t>
  </si>
  <si>
    <t>mm.</t>
  </si>
  <si>
    <t>Rain fall Duration</t>
  </si>
  <si>
    <t>hr.</t>
  </si>
  <si>
    <t>Slippery time</t>
  </si>
  <si>
    <t>JBG Fuel stock</t>
  </si>
  <si>
    <t>Liter</t>
  </si>
  <si>
    <t xml:space="preserve">  </t>
  </si>
  <si>
    <t>OB TJP</t>
  </si>
  <si>
    <t>OB SNS</t>
  </si>
  <si>
    <t>ROM TJP</t>
  </si>
  <si>
    <t>ROM SNS</t>
  </si>
  <si>
    <t>ROM Production</t>
  </si>
  <si>
    <t>Rainfall (mm)</t>
  </si>
  <si>
    <t>Rainfall (hr)</t>
  </si>
  <si>
    <t>Total day ---&gt;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</si>
  <si>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</si>
  <si>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</si>
  <si>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</si>
  <si>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</si>
  <si>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</si>
  <si>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</si>
  <si>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</si>
  <si>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</si>
  <si>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</si>
  <si>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</si>
  <si>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</si>
  <si>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</si>
  <si>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</si>
  <si>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</si>
  <si>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</si>
  <si>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</si>
  <si>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</si>
  <si>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</si>
  <si>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</si>
  <si>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</si>
  <si>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</si>
  <si>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</si>
  <si>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</si>
  <si>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</si>
  <si>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</si>
  <si>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</si>
  <si>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</si>
  <si>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</si>
  <si>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</si>
  <si>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</si>
  <si>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</si>
  <si>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by Pit</t>
  </si>
  <si>
    <t>EOP by clasification</t>
  </si>
  <si>
    <t>Pit M45 C</t>
  </si>
  <si>
    <t>PAF(BCM)</t>
  </si>
  <si>
    <t>NAF(BCM)</t>
  </si>
  <si>
    <t>Top Soil (BCM)</t>
  </si>
  <si>
    <t>Total by day</t>
  </si>
  <si>
    <t>Pit UC_W</t>
  </si>
  <si>
    <t>SNS</t>
  </si>
  <si>
    <t>PIT U210</t>
  </si>
  <si>
    <t>MUD (BCM)</t>
  </si>
  <si>
    <t>Pit UEW</t>
  </si>
  <si>
    <t>Pit UCE</t>
  </si>
  <si>
    <t xml:space="preserve">Total </t>
  </si>
  <si>
    <t>OB-PAF</t>
  </si>
  <si>
    <t>OB-NAF</t>
  </si>
  <si>
    <t>MUD</t>
  </si>
  <si>
    <t>TS</t>
  </si>
  <si>
    <t>Total</t>
  </si>
  <si>
    <t>PIT UCEX</t>
  </si>
  <si>
    <t>Ex_Illegal</t>
  </si>
  <si>
    <t>C_UCW</t>
  </si>
  <si>
    <t>TOTAL</t>
  </si>
  <si>
    <t>OB katal - katal</t>
  </si>
  <si>
    <t>Total by Clasification</t>
  </si>
  <si>
    <t>BAS</t>
  </si>
  <si>
    <t>STS</t>
  </si>
  <si>
    <t>Total by Seam</t>
  </si>
  <si>
    <t>EOP by seam</t>
  </si>
  <si>
    <t>PT SNS</t>
  </si>
  <si>
    <t>U210</t>
  </si>
  <si>
    <t>Crushed</t>
  </si>
  <si>
    <t>Seam U3L</t>
  </si>
  <si>
    <t>SEAM U3</t>
  </si>
  <si>
    <t>SEAM U3-1</t>
  </si>
  <si>
    <t>SEAM U3-2</t>
  </si>
  <si>
    <t>SEAM U3-3</t>
  </si>
  <si>
    <t>SEAM U4</t>
  </si>
  <si>
    <t>Seam U3</t>
  </si>
  <si>
    <t>U312</t>
  </si>
  <si>
    <t>U330</t>
  </si>
  <si>
    <t>U340</t>
  </si>
  <si>
    <t>U360</t>
  </si>
  <si>
    <t>U400</t>
  </si>
  <si>
    <t>U410</t>
  </si>
  <si>
    <t>U420</t>
  </si>
  <si>
    <t>U510</t>
  </si>
  <si>
    <t>SEAM U6</t>
  </si>
  <si>
    <t>Seam U3-3</t>
  </si>
  <si>
    <t>SEAM U3-4</t>
  </si>
  <si>
    <t>SEAM U4L</t>
  </si>
  <si>
    <t>Pit River Diversion</t>
  </si>
  <si>
    <t>M331</t>
  </si>
  <si>
    <t>M332</t>
  </si>
  <si>
    <t>M325</t>
  </si>
  <si>
    <t>M340</t>
  </si>
  <si>
    <t>M511</t>
  </si>
  <si>
    <t>Direct to Crushed</t>
  </si>
  <si>
    <t>EOP ROM</t>
  </si>
  <si>
    <t>Coal</t>
  </si>
  <si>
    <t>Total by Contractor</t>
  </si>
  <si>
    <t>Pit M45C</t>
  </si>
  <si>
    <t>Pit M23E</t>
  </si>
  <si>
    <t>Pit M4E Nahiya</t>
  </si>
  <si>
    <t>Pit….</t>
  </si>
  <si>
    <t>Pit…</t>
  </si>
  <si>
    <t>Pit M5L</t>
  </si>
  <si>
    <t>Pit UC_E</t>
  </si>
  <si>
    <t>UEW</t>
  </si>
  <si>
    <t>Shift 1</t>
  </si>
  <si>
    <t>Shift 2</t>
  </si>
  <si>
    <t>Sub Total</t>
  </si>
  <si>
    <t>Total BAS</t>
  </si>
  <si>
    <t>TBM</t>
  </si>
  <si>
    <t>M45C-Extend</t>
  </si>
  <si>
    <t>UCE-Extend</t>
  </si>
  <si>
    <t>Total STS</t>
  </si>
  <si>
    <t xml:space="preserve">EOP </t>
  </si>
  <si>
    <t>Rom Production</t>
  </si>
  <si>
    <t>ROM to Stock</t>
  </si>
  <si>
    <t>ROM Stock</t>
  </si>
  <si>
    <t>Crushed Coal</t>
  </si>
  <si>
    <t>ROM Direct</t>
  </si>
  <si>
    <t>ROM Re-Handling</t>
  </si>
  <si>
    <t>F/C Stock</t>
  </si>
  <si>
    <t>Uncovered coal</t>
  </si>
  <si>
    <t>STS Fuel stock</t>
  </si>
  <si>
    <t>BAS Fuel stock</t>
  </si>
  <si>
    <t>JBG Fuel Stock</t>
  </si>
  <si>
    <t>Dredging         Plan</t>
  </si>
  <si>
    <t>Activity         Actual</t>
  </si>
  <si>
    <t xml:space="preserve"> </t>
  </si>
  <si>
    <t>.</t>
  </si>
  <si>
    <t>Location</t>
  </si>
  <si>
    <t>Total by Location</t>
  </si>
  <si>
    <t>Eastean Area</t>
  </si>
  <si>
    <t xml:space="preserve">Rainfall </t>
  </si>
  <si>
    <t>Rainfall Duration</t>
  </si>
  <si>
    <t>Slippery Duration</t>
  </si>
  <si>
    <t>-</t>
  </si>
  <si>
    <t>Loss Time</t>
  </si>
  <si>
    <t>Customer</t>
  </si>
  <si>
    <t>Total by Customer</t>
  </si>
  <si>
    <t>CHINA</t>
  </si>
  <si>
    <t>CILACAP</t>
  </si>
  <si>
    <t>PHILIPPINES</t>
  </si>
  <si>
    <t>THAILAND</t>
  </si>
  <si>
    <t>MUARA BERAU</t>
  </si>
  <si>
    <t>BOCT</t>
  </si>
  <si>
    <t>China</t>
  </si>
  <si>
    <t>SMI</t>
  </si>
  <si>
    <t>Thailand</t>
  </si>
  <si>
    <t>Equipment (Shift 1 and Shift 2)</t>
  </si>
  <si>
    <t>Average by Location</t>
  </si>
  <si>
    <r>
      <rPr>
        <b/>
        <sz val="14"/>
        <color rgb="FF0070C0"/>
        <rFont val="Century Gothic"/>
        <family val="2"/>
      </rPr>
      <t xml:space="preserve">M2W               </t>
    </r>
    <r>
      <rPr>
        <b/>
        <sz val="12"/>
        <color rgb="FF0070C0"/>
        <rFont val="Century Gothic"/>
        <family val="2"/>
      </rPr>
      <t>Shift 1</t>
    </r>
  </si>
  <si>
    <t>Exc. OB</t>
  </si>
  <si>
    <t>DT OB</t>
  </si>
  <si>
    <t>Exc. Coal</t>
  </si>
  <si>
    <t>DT Coal</t>
  </si>
  <si>
    <t>Dozer</t>
  </si>
  <si>
    <t>Grader</t>
  </si>
  <si>
    <t>Water Truck</t>
  </si>
  <si>
    <r>
      <rPr>
        <b/>
        <sz val="14"/>
        <color rgb="FF0070C0"/>
        <rFont val="Century Gothic"/>
        <family val="2"/>
      </rPr>
      <t xml:space="preserve">M2W               </t>
    </r>
    <r>
      <rPr>
        <b/>
        <sz val="12"/>
        <color rgb="FF0070C0"/>
        <rFont val="Century Gothic"/>
        <family val="2"/>
      </rPr>
      <t>Shift 2</t>
    </r>
  </si>
  <si>
    <r>
      <rPr>
        <b/>
        <sz val="14"/>
        <color rgb="FF0070C0"/>
        <rFont val="Century Gothic"/>
        <family val="2"/>
      </rPr>
      <t xml:space="preserve">UW               </t>
    </r>
    <r>
      <rPr>
        <b/>
        <sz val="12"/>
        <color rgb="FF0070C0"/>
        <rFont val="Century Gothic"/>
        <family val="2"/>
      </rPr>
      <t>Shift 1</t>
    </r>
  </si>
  <si>
    <r>
      <rPr>
        <b/>
        <sz val="14"/>
        <color rgb="FF0070C0"/>
        <rFont val="Century Gothic"/>
        <family val="2"/>
      </rPr>
      <t xml:space="preserve">UW               </t>
    </r>
    <r>
      <rPr>
        <b/>
        <sz val="12"/>
        <color rgb="FF0070C0"/>
        <rFont val="Century Gothic"/>
        <family val="2"/>
      </rPr>
      <t>Shift 2</t>
    </r>
  </si>
  <si>
    <t>UC E
Shift 1</t>
  </si>
  <si>
    <t>UC E
Shift 2</t>
  </si>
  <si>
    <t>M4E_N               Shift 1</t>
  </si>
  <si>
    <t>M4E_N               Shift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</si>
  <si>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</si>
  <si>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</si>
  <si>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</si>
  <si>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</si>
  <si>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</si>
  <si>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</si>
  <si>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</si>
  <si>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</si>
  <si>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</si>
  <si>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</si>
  <si>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</si>
  <si>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</si>
  <si>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Rainfall
(mm)</t>
  </si>
  <si>
    <t>Diff</t>
  </si>
  <si>
    <t>Duration time
(hr)</t>
  </si>
  <si>
    <t>Slippery time
(hr)</t>
  </si>
  <si>
    <t>Slippery time (hr/month)</t>
  </si>
  <si>
    <t>Rainfall duration (hr/day)</t>
  </si>
  <si>
    <t>Idle time from rainfall (hr/month)</t>
  </si>
  <si>
    <t>Unit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</si>
  <si>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</si>
  <si>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</si>
  <si>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</si>
  <si>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</si>
  <si>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</si>
  <si>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</si>
  <si>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</si>
  <si>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</si>
  <si>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</si>
  <si>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</si>
  <si>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</si>
  <si>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Waste Removal</t>
  </si>
  <si>
    <t>Tons</t>
  </si>
  <si>
    <t>hrs.</t>
  </si>
  <si>
    <t>Liters</t>
  </si>
  <si>
    <t xml:space="preserve">Remark! </t>
  </si>
  <si>
    <t>unit : mm.</t>
  </si>
  <si>
    <t>Average</t>
  </si>
  <si>
    <t>Max</t>
  </si>
  <si>
    <t>Min</t>
  </si>
  <si>
    <t>Date</t>
  </si>
  <si>
    <t>Equipment</t>
  </si>
  <si>
    <t>Shift 1 (06:00-18:00)</t>
  </si>
  <si>
    <t>Shift 2 (18:00-06:00)</t>
  </si>
  <si>
    <t>Exc. OB (BAS)</t>
  </si>
  <si>
    <t>DT OB (BAS)</t>
  </si>
  <si>
    <t>Exc. OB (UEW)</t>
  </si>
  <si>
    <t>DT OB (UEW)</t>
  </si>
  <si>
    <t xml:space="preserve">Exc. OB </t>
  </si>
  <si>
    <t xml:space="preserve">DT OB </t>
  </si>
  <si>
    <t>Exc. Coal (UEW)</t>
  </si>
  <si>
    <t>DT Coal (UEW)</t>
  </si>
  <si>
    <t xml:space="preserve">Exc. Coal </t>
  </si>
  <si>
    <t xml:space="preserve">DT Coal </t>
  </si>
  <si>
    <t>Gradder</t>
  </si>
  <si>
    <t>W.Truck</t>
  </si>
  <si>
    <t>PIT</t>
  </si>
  <si>
    <t>Shift</t>
  </si>
  <si>
    <t>Not Met</t>
  </si>
  <si>
    <t>Achieved</t>
  </si>
  <si>
    <t>Exc. OB (SNS)</t>
  </si>
  <si>
    <t>DT OB (SNS)</t>
  </si>
  <si>
    <t>Exc. OB (TJP)</t>
  </si>
  <si>
    <t>DT OB (TJP)</t>
  </si>
  <si>
    <t>Exc. Coal (SNS)</t>
  </si>
  <si>
    <t>DT Coal (SNS)</t>
  </si>
  <si>
    <t>Exc. Coal (TJP)</t>
  </si>
  <si>
    <t>DT Coal (TJP)</t>
  </si>
  <si>
    <t>Pit UCEX</t>
  </si>
  <si>
    <t>OB Production</t>
  </si>
  <si>
    <t>OB Working Hour</t>
  </si>
  <si>
    <t>ROM Working Hour</t>
  </si>
  <si>
    <t xml:space="preserve">Rain Duration </t>
  </si>
  <si>
    <t xml:space="preserve">Slippery </t>
  </si>
  <si>
    <t>Duration Time</t>
  </si>
  <si>
    <t>Slippery Time</t>
  </si>
  <si>
    <t>PLAN OB</t>
  </si>
  <si>
    <t>PLAN ROM</t>
  </si>
  <si>
    <t>TUNNEL</t>
  </si>
  <si>
    <t>FC Stock</t>
  </si>
  <si>
    <t>Quality</t>
  </si>
  <si>
    <t xml:space="preserve">ROM Stock </t>
  </si>
  <si>
    <t>TM (arb)</t>
  </si>
  <si>
    <t>IM (adb)</t>
  </si>
  <si>
    <t>Ash (adb)</t>
  </si>
  <si>
    <t>Sulfur (adb)</t>
  </si>
  <si>
    <t>CV (adb)</t>
  </si>
  <si>
    <t>CV (gar)</t>
  </si>
  <si>
    <t>T-1</t>
  </si>
  <si>
    <t>M1 / HS</t>
  </si>
  <si>
    <t>T-2</t>
  </si>
  <si>
    <t>M45 / LS</t>
  </si>
  <si>
    <t>T-3</t>
  </si>
  <si>
    <t>T-4</t>
  </si>
  <si>
    <t>T-5</t>
  </si>
  <si>
    <t>Outlook Production 2026</t>
  </si>
  <si>
    <t>EOP 2025</t>
  </si>
  <si>
    <t xml:space="preserve"> -   </t>
  </si>
  <si>
    <t>Distance</t>
  </si>
  <si>
    <t>KM</t>
  </si>
  <si>
    <t>Cilacap</t>
  </si>
  <si>
    <t>barge (n)</t>
  </si>
  <si>
    <t>Philippine</t>
  </si>
  <si>
    <t>Shipment (n)</t>
  </si>
  <si>
    <t>Other</t>
  </si>
  <si>
    <t xml:space="preserve">Waste Removal is </t>
  </si>
  <si>
    <t>BCM, MTD is</t>
  </si>
  <si>
    <t>BCM, or</t>
  </si>
  <si>
    <t xml:space="preserve">ROM production is </t>
  </si>
  <si>
    <t>Tons MTD is </t>
  </si>
  <si>
    <t xml:space="preserve">Tons, or </t>
  </si>
  <si>
    <t xml:space="preserve">Crushed Coal Production is </t>
  </si>
  <si>
    <t>Tons, MTD is</t>
  </si>
  <si>
    <t>Loading Barge is </t>
  </si>
  <si>
    <t>Tons, MTD is </t>
  </si>
  <si>
    <t>Comment</t>
  </si>
  <si>
    <t>MATERIAL</t>
  </si>
  <si>
    <t>TUJUAN</t>
  </si>
  <si>
    <t>EXCAVATOR</t>
  </si>
  <si>
    <t>NO. DT</t>
  </si>
  <si>
    <t>TOTAL RIT</t>
  </si>
  <si>
    <t>TOTAL TON</t>
  </si>
  <si>
    <t>CAP.</t>
  </si>
  <si>
    <t>SEAM</t>
  </si>
  <si>
    <t>DISTANCE</t>
  </si>
  <si>
    <t>Contractor</t>
  </si>
  <si>
    <t>Weekly</t>
  </si>
  <si>
    <t>DAY</t>
  </si>
  <si>
    <t>CONTRACTOR</t>
  </si>
  <si>
    <t>START</t>
  </si>
  <si>
    <t>FINISH</t>
  </si>
  <si>
    <t>timS</t>
  </si>
  <si>
    <t>timF</t>
  </si>
  <si>
    <t>clasT</t>
  </si>
  <si>
    <t>AM</t>
  </si>
  <si>
    <t>PM</t>
  </si>
  <si>
    <t>Duration</t>
  </si>
  <si>
    <t>RAINFALL (mm)</t>
  </si>
  <si>
    <t>Freq.</t>
  </si>
  <si>
    <t>REMARK</t>
  </si>
  <si>
    <t>Dummy</t>
  </si>
  <si>
    <t>AdjR</t>
  </si>
  <si>
    <t>AdjR1</t>
  </si>
  <si>
    <t>AdjS</t>
  </si>
  <si>
    <t>AdjS1</t>
  </si>
  <si>
    <t>MM</t>
  </si>
  <si>
    <t>Dummy_Freq</t>
  </si>
  <si>
    <t>Freq</t>
  </si>
  <si>
    <t>RAIN</t>
  </si>
  <si>
    <t>PIT M4W</t>
  </si>
  <si>
    <t>M4W</t>
  </si>
  <si>
    <t>TJP</t>
  </si>
  <si>
    <t>UCE-EX</t>
  </si>
  <si>
    <t>PIT UEW</t>
  </si>
  <si>
    <t>RAINFALL_STATUS</t>
  </si>
  <si>
    <t>SLIP</t>
  </si>
  <si>
    <t>Number</t>
  </si>
  <si>
    <t>Nama DT</t>
  </si>
  <si>
    <t>Mud</t>
  </si>
  <si>
    <t>Type</t>
  </si>
  <si>
    <t>Column1</t>
  </si>
  <si>
    <t>Cap</t>
  </si>
  <si>
    <t>SNS-SN511</t>
  </si>
  <si>
    <t>SNS-HINO-30T</t>
  </si>
  <si>
    <t>HINO-700</t>
  </si>
  <si>
    <t>SNS-SN512</t>
  </si>
  <si>
    <t>SNS-SN513</t>
  </si>
  <si>
    <t>SNS-SN514</t>
  </si>
  <si>
    <t>SNS-SN515</t>
  </si>
  <si>
    <t>SNS-SN516</t>
  </si>
  <si>
    <t>SNS-SN517</t>
  </si>
  <si>
    <t>SNS-SN518</t>
  </si>
  <si>
    <t>SNS-SN519</t>
  </si>
  <si>
    <t>SNS-SN520</t>
  </si>
  <si>
    <t>SNS-SN524</t>
  </si>
  <si>
    <t>SNS-SN525</t>
  </si>
  <si>
    <t>SNS-SN526</t>
  </si>
  <si>
    <t>SNS-SN530</t>
  </si>
  <si>
    <t>SNS-SN531</t>
  </si>
  <si>
    <t>SNS-SN532</t>
  </si>
  <si>
    <t>SNS-SN536</t>
  </si>
  <si>
    <t>SNS-SN537</t>
  </si>
  <si>
    <t>SNS-SN538</t>
  </si>
  <si>
    <t>SNS-SN557</t>
  </si>
  <si>
    <t>SNS-SN558</t>
  </si>
  <si>
    <t>SNS-SN559</t>
  </si>
  <si>
    <t>SNS-SN560</t>
  </si>
  <si>
    <t>SNS-SN561</t>
  </si>
  <si>
    <t>SNS-SN562</t>
  </si>
  <si>
    <t>SNS-SN563</t>
  </si>
  <si>
    <t>SNS-SN564</t>
  </si>
  <si>
    <t>SNS-SN565</t>
  </si>
  <si>
    <t>SNS-SN566</t>
  </si>
  <si>
    <t>SNS-SN567</t>
  </si>
  <si>
    <t>SNS-SN568</t>
  </si>
  <si>
    <t>SNS-SN569</t>
  </si>
  <si>
    <t>SNS-SN570</t>
  </si>
  <si>
    <t>SNS-SN571</t>
  </si>
  <si>
    <t>SNS-SN572</t>
  </si>
  <si>
    <t>SNS-SN573</t>
  </si>
  <si>
    <t>SNS-SN574</t>
  </si>
  <si>
    <t>SNS-SN575</t>
  </si>
  <si>
    <t>SNS-SN576</t>
  </si>
  <si>
    <t>SNS-SN577</t>
  </si>
  <si>
    <t>SNS-SN578</t>
  </si>
  <si>
    <t>SNS-SN579</t>
  </si>
  <si>
    <t>SNS-SN580</t>
  </si>
  <si>
    <t>SNS-SN581</t>
  </si>
  <si>
    <t>SNS-SN582</t>
  </si>
  <si>
    <t>SNS-SN588</t>
  </si>
  <si>
    <t>Quester</t>
  </si>
  <si>
    <t>SNS-SN589</t>
  </si>
  <si>
    <t>SNS-SN590</t>
  </si>
  <si>
    <t>SNS-SN591</t>
  </si>
  <si>
    <t>SNS-SN592</t>
  </si>
  <si>
    <t>SNS-SN593</t>
  </si>
  <si>
    <t>SNS-VOLVO-35T</t>
  </si>
  <si>
    <t>VOLVO</t>
  </si>
  <si>
    <t>SNS-SN594</t>
  </si>
  <si>
    <t>SNS-SN595</t>
  </si>
  <si>
    <t>SNS-SN596</t>
  </si>
  <si>
    <t>SNS-SN597</t>
  </si>
  <si>
    <t>SNS-SN598</t>
  </si>
  <si>
    <t>SNS-SN599</t>
  </si>
  <si>
    <t>SNS-SN600</t>
  </si>
  <si>
    <t>SNS-SN601</t>
  </si>
  <si>
    <t>SNS-SN602</t>
  </si>
  <si>
    <t>SNS-SN603</t>
  </si>
  <si>
    <t>SNS-SN604</t>
  </si>
  <si>
    <t>SNS-SN605</t>
  </si>
  <si>
    <t>SNS-SN606</t>
  </si>
  <si>
    <t>SNS-SN607</t>
  </si>
  <si>
    <t>SNS-SN608</t>
  </si>
  <si>
    <t>SNS-SN609</t>
  </si>
  <si>
    <t>SNS-SN610</t>
  </si>
  <si>
    <t>SNS-SN611</t>
  </si>
  <si>
    <t>SNS-SN612</t>
  </si>
  <si>
    <t>SNS-SN613</t>
  </si>
  <si>
    <t>SNS-SN614</t>
  </si>
  <si>
    <t>SNS-SN615</t>
  </si>
  <si>
    <t>SNS-SN616</t>
  </si>
  <si>
    <t>SNS-SN617</t>
  </si>
  <si>
    <t>SNS-SN618</t>
  </si>
  <si>
    <t>SNS-SN619</t>
  </si>
  <si>
    <t>SNS-SN620</t>
  </si>
  <si>
    <t>TJP-DT370-932</t>
  </si>
  <si>
    <t>TJP-QUESTER-30T</t>
  </si>
  <si>
    <t>TJP-DT370-933</t>
  </si>
  <si>
    <t>TJP-DT370-934</t>
  </si>
  <si>
    <t>TJP-DT370-935</t>
  </si>
  <si>
    <t>TJP-DT370-936</t>
  </si>
  <si>
    <t>TJP-DT370-937</t>
  </si>
  <si>
    <t>TJP-DT370-938</t>
  </si>
  <si>
    <t>TJP-DT370-939</t>
  </si>
  <si>
    <t>TJP-DT370-940</t>
  </si>
  <si>
    <t>TJP-DT370-951</t>
  </si>
  <si>
    <t>TJP-DT370-952</t>
  </si>
  <si>
    <t>TJP-DT370-953</t>
  </si>
  <si>
    <t>TJP-DT370-954</t>
  </si>
  <si>
    <t>TJP-DT370-955</t>
  </si>
  <si>
    <t>TJP-DT370-956</t>
  </si>
  <si>
    <t>TJP-DT370-957</t>
  </si>
  <si>
    <t>TJP-DT370-958</t>
  </si>
  <si>
    <t>TJP-DT370-959</t>
  </si>
  <si>
    <t>TJP-DT370-960</t>
  </si>
  <si>
    <t>TJP-DT370-966</t>
  </si>
  <si>
    <t>TJP-DT370-967</t>
  </si>
  <si>
    <t>TJP-DT370-968</t>
  </si>
  <si>
    <t>TJP-DT370-969</t>
  </si>
  <si>
    <t>TJP-DT370-970</t>
  </si>
  <si>
    <t>TJP-DT370-971</t>
  </si>
  <si>
    <t>TJP-DT370-972</t>
  </si>
  <si>
    <t>TJP-DT370-973</t>
  </si>
  <si>
    <t>TJP-DT370-974</t>
  </si>
  <si>
    <t>TJP-DT370-975</t>
  </si>
  <si>
    <t>TJP-DT370-976</t>
  </si>
  <si>
    <t>TJP-DT370-977</t>
  </si>
  <si>
    <t>TJP-DT370-978</t>
  </si>
  <si>
    <t>TJP-DT370-979</t>
  </si>
  <si>
    <t>TJP-DT370-980</t>
  </si>
  <si>
    <t>TJP-DT370-981</t>
  </si>
  <si>
    <t>TJP-DT370-982</t>
  </si>
  <si>
    <t>TJP-DT370-983</t>
  </si>
  <si>
    <t>TJP-DT370-984</t>
  </si>
  <si>
    <t>TJP-DT370-985</t>
  </si>
  <si>
    <t>TJP-DT370-986</t>
  </si>
  <si>
    <t>TJP-DT400-1001</t>
  </si>
  <si>
    <t>TJP-VOLVO-35T</t>
  </si>
  <si>
    <t>TJP-DT400-1002</t>
  </si>
  <si>
    <t>TJP-DT400-1003</t>
  </si>
  <si>
    <t>TJP-DT400-1004</t>
  </si>
  <si>
    <t>TJP-DT400-1005</t>
  </si>
  <si>
    <t>TJP-DT400-1006</t>
  </si>
  <si>
    <t>TJP-DT400-1007</t>
  </si>
  <si>
    <t>TJP-DT400-1008</t>
  </si>
  <si>
    <t>TJP-DT400-1009</t>
  </si>
  <si>
    <t>TJP-DT400-1010</t>
  </si>
  <si>
    <t>TJP-DT400-1011</t>
  </si>
  <si>
    <t>TJP-DT400-1012</t>
  </si>
  <si>
    <t>TJP-DT400-1013</t>
  </si>
  <si>
    <t>TJP-DT400-1014</t>
  </si>
  <si>
    <t>TJP-DT400-1015</t>
  </si>
  <si>
    <t>TJP-DT400-1016</t>
  </si>
  <si>
    <t>TJP-DT400-1017</t>
  </si>
  <si>
    <t>TJP-DT400-1018</t>
  </si>
  <si>
    <t>TJP-DT400-1019</t>
  </si>
  <si>
    <t>TJP-DT400-1020</t>
  </si>
  <si>
    <t>TJP-DT400-1021</t>
  </si>
  <si>
    <t>TJP-DT400-1022</t>
  </si>
  <si>
    <t>TJP-DT400-1023</t>
  </si>
  <si>
    <t>TJP-DT400-1024</t>
  </si>
  <si>
    <t>TJP-DT400-1025</t>
  </si>
  <si>
    <t>TJP-DT400-1026</t>
  </si>
  <si>
    <t>TJP-DT400-1027</t>
  </si>
  <si>
    <t>TJP-DT400-1028</t>
  </si>
  <si>
    <t>TJP-DT400-1029</t>
  </si>
  <si>
    <t>TJP-DT400-1030</t>
  </si>
  <si>
    <t>TJP-DT400-1031</t>
  </si>
  <si>
    <t>TJP-DT400-1032</t>
  </si>
  <si>
    <t>TJP-DT400-1033</t>
  </si>
  <si>
    <t>TJP-DT400-1034</t>
  </si>
  <si>
    <t>TJP-DT400-1035</t>
  </si>
  <si>
    <t>TJP-DT400-1036</t>
  </si>
  <si>
    <t>TJP-DT45A-941</t>
  </si>
  <si>
    <t>TJP-NIS-20T</t>
  </si>
  <si>
    <t>NISSAN</t>
  </si>
  <si>
    <t>TJP-DT45A-942</t>
  </si>
  <si>
    <t>TJP-DT45A-943</t>
  </si>
  <si>
    <t>TJP-DT45A-944</t>
  </si>
  <si>
    <t>TJP-DT45A-945</t>
  </si>
  <si>
    <t>TJP-DT45A-946</t>
  </si>
  <si>
    <t>TJP-DT45A-947</t>
  </si>
  <si>
    <t>TJP-DT45A-949</t>
  </si>
  <si>
    <t>TJP-DT45A-950</t>
  </si>
  <si>
    <t>TJP-DT520-951</t>
  </si>
  <si>
    <t>TJP-DT520-952</t>
  </si>
  <si>
    <t>TJP-DT260-914</t>
  </si>
  <si>
    <t>TJP-DT45A-948</t>
  </si>
  <si>
    <t>Day</t>
  </si>
  <si>
    <t>Dummy_Exc</t>
  </si>
  <si>
    <t>Count_Exc</t>
  </si>
  <si>
    <t>Dummy_DT</t>
  </si>
  <si>
    <t>Count_DT</t>
  </si>
  <si>
    <t>Dummy_Dist.</t>
  </si>
  <si>
    <t>Dummy_DT/Exc</t>
  </si>
  <si>
    <t>Count_DT/Exc</t>
  </si>
  <si>
    <t>Dump</t>
  </si>
  <si>
    <t>Dummy_Exc2</t>
  </si>
  <si>
    <t>Type_DT</t>
  </si>
  <si>
    <t>Source</t>
  </si>
  <si>
    <t>Destination</t>
  </si>
  <si>
    <t>Product</t>
  </si>
  <si>
    <t>IF([@Material]="MUD",VLOOKUP([@[Dump Truck]],Type_mud[[Nama DT]:[Type]],2,0),VLOOKUP([@[Dump Truck]],Type_DT_OB[[Nama DT]:[Type]],4,0))</t>
  </si>
  <si>
    <t>Jam Kerja TJP</t>
  </si>
  <si>
    <t>Jam Kerja SNS</t>
  </si>
  <si>
    <t>UCW</t>
  </si>
  <si>
    <t>PIT UCW</t>
  </si>
  <si>
    <t>INPIT-M2W</t>
  </si>
  <si>
    <t>Week I</t>
  </si>
  <si>
    <t>SNS-MUD-HINO-30T</t>
  </si>
  <si>
    <t>M2EE</t>
  </si>
  <si>
    <t>INPIT-M2EE</t>
  </si>
  <si>
    <t>UCE</t>
  </si>
  <si>
    <t>UCE_TJP</t>
  </si>
  <si>
    <t>UEC</t>
  </si>
  <si>
    <t>INPIT-UEC</t>
  </si>
  <si>
    <t>M45C</t>
  </si>
  <si>
    <t>UEC_WEST</t>
  </si>
  <si>
    <t>PIT UCEX_B</t>
  </si>
  <si>
    <t>UCEXB</t>
  </si>
  <si>
    <t>M4EC</t>
  </si>
  <si>
    <t>INPIT-M4EC</t>
  </si>
  <si>
    <t>UCET</t>
  </si>
  <si>
    <t>Jalan_Baru</t>
  </si>
  <si>
    <t>Week II</t>
  </si>
  <si>
    <t>Jalan_M4EE</t>
  </si>
  <si>
    <t>UEW_WEST</t>
  </si>
  <si>
    <t>INPIT-UEW</t>
  </si>
  <si>
    <t>Jalan_Hauling_Baru</t>
  </si>
  <si>
    <t>M4EC_West</t>
  </si>
  <si>
    <t>Inpit_Dump_U210</t>
  </si>
  <si>
    <t>Inpit U210</t>
  </si>
  <si>
    <t>INPIT-U210</t>
  </si>
  <si>
    <t>Dumpingan Inpit UW Top Soil</t>
  </si>
  <si>
    <t>Week III</t>
  </si>
  <si>
    <t>UEW_EAST</t>
  </si>
  <si>
    <t>Dumpingan Inpit UW</t>
  </si>
  <si>
    <t>Inpit UCW</t>
  </si>
  <si>
    <t>INPIT-UCW</t>
  </si>
  <si>
    <t>Dumpingan UW Top Soil</t>
  </si>
  <si>
    <t>Dumpingan Inpit bottom</t>
  </si>
  <si>
    <t>Dumpingan Inpit U210 Atas</t>
  </si>
  <si>
    <t>Dumpingan Inpit U210 Bawah</t>
  </si>
  <si>
    <t>Week IV</t>
  </si>
  <si>
    <t>Jalan Hauling KM 21</t>
  </si>
  <si>
    <t xml:space="preserve">Dumpingan Inpit U210 </t>
  </si>
  <si>
    <t>Supply material Ke KM 21</t>
  </si>
  <si>
    <t>Dumpingan Inpit U210 Timur</t>
  </si>
  <si>
    <t>Supply Material ke Workshop</t>
  </si>
  <si>
    <t>Week V</t>
  </si>
  <si>
    <t>Supply material KM 14,5</t>
  </si>
  <si>
    <t>Dumpingan Top Soil U210</t>
  </si>
  <si>
    <t>M4EC_East</t>
  </si>
  <si>
    <t xml:space="preserve">Dumpingan Inpit Top Soil U210 </t>
  </si>
  <si>
    <t>Channel</t>
  </si>
  <si>
    <t xml:space="preserve">Dumpingan Top Soil U210 </t>
  </si>
  <si>
    <t>INPIT-M45C</t>
  </si>
  <si>
    <t>UEW_Point</t>
  </si>
  <si>
    <t xml:space="preserve">Dumpingan Inpit Barrier U210 </t>
  </si>
  <si>
    <t>Barrier_Buaya</t>
  </si>
  <si>
    <t>Stock_Soil_U210</t>
  </si>
  <si>
    <t>UCEX_B</t>
  </si>
  <si>
    <t>Inpit_Dump_UEW</t>
  </si>
  <si>
    <t>E_UCE</t>
  </si>
  <si>
    <t>INPIT-UCEX</t>
  </si>
  <si>
    <t>SNS-QUESTER-30T</t>
  </si>
  <si>
    <t>SNS-MUD-QUESTER-30T</t>
  </si>
  <si>
    <t>EMBANKMENT_UCE</t>
  </si>
  <si>
    <t>INPIT-UCE</t>
  </si>
  <si>
    <t>Inpit UCEX</t>
  </si>
  <si>
    <t>Stock_soil_UCEX</t>
  </si>
  <si>
    <t>Spreading_Soil</t>
  </si>
  <si>
    <t>SNS-MUD-VOLVO-35T</t>
  </si>
  <si>
    <t>TJP-DT45A-921</t>
  </si>
  <si>
    <t>TJP-MUD-NIS-20T</t>
  </si>
  <si>
    <t>TJP-DT45A-922</t>
  </si>
  <si>
    <t>TJP-DT45A-923</t>
  </si>
  <si>
    <t>TJP-DT45A-924</t>
  </si>
  <si>
    <t>TJP-DT45A-925</t>
  </si>
  <si>
    <t>TJP-DT45A-926</t>
  </si>
  <si>
    <t>TJP-DT45A-927</t>
  </si>
  <si>
    <t>TJP-DT45A-928</t>
  </si>
  <si>
    <t>TJP-DT45A-929</t>
  </si>
  <si>
    <t>TJP-DT45A-930</t>
  </si>
  <si>
    <t>TJP-DT370-931</t>
  </si>
  <si>
    <t>TJP-MUD-QUESTER-30T</t>
  </si>
  <si>
    <t>TJP-MUD-VOLVO-35T</t>
  </si>
  <si>
    <t>MINE</t>
  </si>
  <si>
    <t>TRANSACTION TEMPLATE NAME</t>
  </si>
  <si>
    <t>SOURCE</t>
  </si>
  <si>
    <t>DESTINATION</t>
  </si>
  <si>
    <t>DATE</t>
  </si>
  <si>
    <t>SHIFT</t>
  </si>
  <si>
    <t>ACTIVITY</t>
  </si>
  <si>
    <t>TRUCK</t>
  </si>
  <si>
    <t>TRIPS</t>
  </si>
  <si>
    <t>BEFORE VALIDATION</t>
  </si>
  <si>
    <t>AFTER VALIDATION</t>
  </si>
  <si>
    <t>CAPACITY</t>
  </si>
  <si>
    <t>PRODUCT</t>
  </si>
  <si>
    <t>EQUIPMENT</t>
  </si>
  <si>
    <t>COMMENT</t>
  </si>
  <si>
    <t>Cek TC</t>
  </si>
  <si>
    <t>Rain</t>
  </si>
  <si>
    <t>Sun</t>
  </si>
  <si>
    <t>ITEM</t>
  </si>
  <si>
    <t>March</t>
  </si>
  <si>
    <t>April</t>
  </si>
  <si>
    <t>MAY</t>
  </si>
  <si>
    <t>June</t>
  </si>
  <si>
    <t>JUNE</t>
  </si>
  <si>
    <t>Stock FC</t>
  </si>
  <si>
    <t>Production FC</t>
  </si>
  <si>
    <t>Direct from pit</t>
  </si>
  <si>
    <t>ROM rehandling</t>
  </si>
  <si>
    <t>Plan&amp;Outlook Cilacap</t>
  </si>
  <si>
    <t>Load Actual Cilacap</t>
  </si>
  <si>
    <t xml:space="preserve">Plan&amp;Outlook SPDC </t>
  </si>
  <si>
    <t xml:space="preserve">Load Actual SPDC </t>
  </si>
  <si>
    <t>Plan Glow</t>
  </si>
  <si>
    <t>Load Actual &amp; Outlook Glow</t>
  </si>
  <si>
    <t>SPDC</t>
  </si>
  <si>
    <t>Grow</t>
  </si>
  <si>
    <t>From Pit to Stock (IN)</t>
  </si>
  <si>
    <t>From Stock to Crusher (OUT)</t>
  </si>
  <si>
    <t>END Stock</t>
  </si>
  <si>
    <t>Stock UCE</t>
  </si>
  <si>
    <t>Stock UCW</t>
  </si>
  <si>
    <t>JUMLAH</t>
  </si>
  <si>
    <t>Yearly</t>
  </si>
  <si>
    <t>OB UCEX</t>
  </si>
  <si>
    <t>OB U210</t>
  </si>
  <si>
    <t>FC</t>
  </si>
  <si>
    <t>ROM M45C</t>
  </si>
  <si>
    <t>Loading</t>
  </si>
  <si>
    <t>ROM U210</t>
  </si>
  <si>
    <t>Road to Bonus Q1</t>
  </si>
  <si>
    <t>ROM Prod</t>
  </si>
  <si>
    <t>FC Production</t>
  </si>
  <si>
    <t>E-UCE</t>
  </si>
  <si>
    <t>-  No production due to temporary standby (PIT) until further information</t>
  </si>
  <si>
    <t>ACHIEVEMENT</t>
  </si>
  <si>
    <t>PLAN</t>
  </si>
  <si>
    <t>PIT M2W</t>
  </si>
  <si>
    <t>Workshop_TJP</t>
  </si>
  <si>
    <t>WS TJP</t>
  </si>
  <si>
    <t>WS-TJP</t>
  </si>
  <si>
    <t>Dump Truck</t>
  </si>
  <si>
    <t>Excavator</t>
  </si>
  <si>
    <t>Seam</t>
  </si>
  <si>
    <t>Trip</t>
  </si>
  <si>
    <t>Cap. (BCM/Trip)</t>
  </si>
  <si>
    <t>Volume (BCM)</t>
  </si>
  <si>
    <t>Material</t>
  </si>
  <si>
    <t>Dump Area</t>
  </si>
  <si>
    <t>Distance (Meter)</t>
  </si>
  <si>
    <t>Pit</t>
  </si>
  <si>
    <t>POS_5</t>
  </si>
  <si>
    <t>M4EW</t>
  </si>
  <si>
    <t>PIT M4EW</t>
  </si>
  <si>
    <t>SNS-SN541</t>
  </si>
  <si>
    <t>SNS-SN543</t>
  </si>
  <si>
    <t>SNS-SN542</t>
  </si>
  <si>
    <t>KM 23</t>
  </si>
  <si>
    <t>unit : hours.</t>
  </si>
  <si>
    <t>Data actual rainfall Duration 2012 - 2026</t>
  </si>
  <si>
    <t>Data actual Slippery 2012 - 2026</t>
  </si>
  <si>
    <t>Data actual rainfall 2004 - 2026</t>
  </si>
  <si>
    <t>Quarterly III</t>
  </si>
  <si>
    <t>INPIT-M4EW</t>
  </si>
  <si>
    <t>SNS-EX400-225</t>
  </si>
  <si>
    <t>Alternatif_Nursery</t>
  </si>
  <si>
    <t>NURSERY</t>
  </si>
  <si>
    <t>1.OB Actual Sep'26</t>
  </si>
  <si>
    <t>SNS-EX520-242</t>
  </si>
  <si>
    <t>SNS-EX520-240</t>
  </si>
  <si>
    <t>SNS-SN544</t>
  </si>
  <si>
    <t>-  Number Outlook already used Number New Month Outlook</t>
  </si>
  <si>
    <t>07 Sept-26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</si>
</sst>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000000"/>
    <numFmt numFmtId="167" formatCode="d\.mmm"/>
    <numFmt numFmtId="168" formatCode="&quot;IR£&quot;#,##0.00;[Red]\-&quot;IR£&quot;#,##0.00"/>
    <numFmt numFmtId="169" formatCode="&quot;IR£&quot;#,##0.00;[Red]&quot;-IR£&quot;#,##0.00"/>
    <numFmt numFmtId="170" formatCode="_(&quot;$&quot;* #,##0.0_);_(&quot;$&quot;* \(#,##0.0\);_(&quot;$&quot;* &quot;-&quot;?_);_(@_)"/>
    <numFmt numFmtId="171" formatCode="_(&quot;$&quot;* #,##0.0_);_(&quot;$&quot;* \(#,##0.0\);_(&quot;$&quot;* \-?_);_(@_)"/>
    <numFmt numFmtId="172" formatCode="&quot;£&quot;#,##0.00;[Red]\-&quot;£&quot;#,##0.00"/>
    <numFmt numFmtId="173" formatCode="_-&quot;£&quot;* #,##0.00_-;\-&quot;£&quot;* #,##0.00_-;_-&quot;£&quot;* &quot;-&quot;??_-;_-@_-"/>
    <numFmt numFmtId="174" formatCode="_-&quot;£&quot;* #,##0_-;\-&quot;£&quot;* #,##0_-;_-&quot;£&quot;* &quot;-&quot;_-;_-@_-"/>
    <numFmt numFmtId="175" formatCode="#,##0\ &quot;FB&quot;;\-#,##0\ &quot;FB&quot;"/>
    <numFmt numFmtId="176" formatCode="_-* #,##0_-;\-* #,##0_-;_-* &quot;-&quot;_-;_-@_-"/>
    <numFmt numFmtId="177" formatCode="_(* #,##0.0_);_(* \(#,##0.0\);_(* &quot;-&quot;??_);_(@_)"/>
    <numFmt numFmtId="178" formatCode="_(* #,##0_);_(* \(#,##0\);_(* &quot;-&quot;??_);_(@_)"/>
    <numFmt numFmtId="179" formatCode="mmmm\ d\,\ yyyy"/>
    <numFmt numFmtId="180" formatCode="0.0000E+00"/>
    <numFmt numFmtId="181" formatCode="[$-409]mmm\-yy;@"/>
    <numFmt numFmtId="182" formatCode="_-* #,##0_-;\-* #,##0_-;_-* &quot;-&quot;??_-;_-@_-"/>
    <numFmt numFmtId="183" formatCode="dd/mm/yyyy\ hh:mm:ss"/>
    <numFmt numFmtId="184" formatCode="[$-409]d\-mmm;@"/>
    <numFmt numFmtId="185" formatCode="dd/mm/yyyy\ hh:mm"/>
    <numFmt numFmtId="186" formatCode="[hh]:mm"/>
    <numFmt numFmtId="187" formatCode="#0.00\ &quot;KM&quot;"/>
    <numFmt numFmtId="188" formatCode="#,##0_ ;[Red]\-#,##0\ "/>
    <numFmt numFmtId="189" formatCode="_-* #,##0.0_-;\-* #,##0.0_-;_-* &quot;-&quot;??_-;_-@_-"/>
    <numFmt numFmtId="190" formatCode="_-* #,##0.000_-;\-* #,##0.000_-;_-* &quot;-&quot;??_-;_-@_-"/>
    <numFmt numFmtId="191" formatCode="m/d/yy;@"/>
    <numFmt numFmtId="192" formatCode="_(* #,##0.00_);_(* \(#,##0.00\);_(* &quot;-&quot;_);_(@_)"/>
    <numFmt numFmtId="193" formatCode="#,##0_ ;\-#,##0\ "/>
    <numFmt numFmtId="194" formatCode="0.0000000"/>
    <numFmt numFmtId="195" formatCode="0.0"/>
    <numFmt numFmtId="196" formatCode="_-* #,##0.0000_-;\-* #,##0.0000_-;_-* &quot;-&quot;??_-;_-@_-"/>
    <numFmt numFmtId="197" formatCode="#,##0.000_);\(#,##0.000\)"/>
    <numFmt numFmtId="198" formatCode="_(* #,##0_);[Red]_(* \(#,##0\);_(* &quot;-&quot;??_);_(@_)"/>
    <numFmt numFmtId="199" formatCode="0%;[Red]\-0%;_(* &quot;-&quot;??_)"/>
    <numFmt numFmtId="200" formatCode="#,##0.0"/>
    <numFmt numFmtId="201" formatCode="&quot;Rp&quot;#,##0"/>
    <numFmt numFmtId="202" formatCode="0%;[Blue]\-0%;_(* &quot;-&quot;??_)"/>
    <numFmt numFmtId="203" formatCode="0%;[Blue]\-0%;_(* &quot;+&quot;??_)"/>
    <numFmt numFmtId="204" formatCode="h:mm:ss;@"/>
    <numFmt numFmtId="205" formatCode="_ * #,##0_ ;_ * \-#,##0_ ;_ * &quot;-&quot;_ ;_ @_ "/>
    <numFmt numFmtId="206" formatCode="[Red]&quot;▲&quot;0.0%;[Blue]&quot;▼&quot;0.0%"/>
    <numFmt numFmtId="207" formatCode="[Red]&quot;▲&quot;0.0%;[Color50]&quot;▼&quot;0.0%"/>
  </numFmts>
  <fonts count="17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6633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i/>
      <sz val="8"/>
      <color rgb="FF00206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name val="Estrangelo Edessa"/>
      <charset val="134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22"/>
      <color theme="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5"/>
      <color theme="0"/>
      <name val="Arial"/>
      <family val="2"/>
    </font>
    <font>
      <b/>
      <sz val="8"/>
      <color rgb="FF1E1E1E"/>
      <name val="Segoe UI"/>
      <family val="2"/>
    </font>
    <font>
      <b/>
      <sz val="11"/>
      <color indexed="12"/>
      <name val="Century Gothic"/>
      <family val="2"/>
    </font>
    <font>
      <sz val="10"/>
      <name val="Century Gothic"/>
      <family val="2"/>
    </font>
    <font>
      <b/>
      <sz val="8"/>
      <color indexed="30"/>
      <name val="Century Gothic"/>
      <family val="2"/>
    </font>
    <font>
      <b/>
      <sz val="10"/>
      <name val="Century Gothic"/>
      <family val="2"/>
    </font>
    <font>
      <b/>
      <sz val="10"/>
      <color indexed="12"/>
      <name val="Century Gothic"/>
      <family val="2"/>
    </font>
    <font>
      <sz val="10"/>
      <color indexed="12"/>
      <name val="Century Gothic"/>
      <family val="2"/>
    </font>
    <font>
      <sz val="10"/>
      <color rgb="FF0000FF"/>
      <name val="Century Gothic"/>
      <family val="2"/>
    </font>
    <font>
      <sz val="11"/>
      <name val="Calibri"/>
      <family val="2"/>
      <scheme val="minor"/>
    </font>
    <font>
      <b/>
      <sz val="8"/>
      <name val="Century Gothic"/>
      <family val="2"/>
    </font>
    <font>
      <sz val="10"/>
      <color rgb="FFFF0000"/>
      <name val="Century Gothic"/>
      <family val="2"/>
    </font>
    <font>
      <b/>
      <sz val="12"/>
      <color theme="0"/>
      <name val="Calibri"/>
      <family val="2"/>
      <scheme val="minor"/>
    </font>
    <font>
      <sz val="12"/>
      <color rgb="FF201F1E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indexed="9"/>
      <name val="Arial"/>
      <family val="2"/>
    </font>
    <font>
      <b/>
      <sz val="14"/>
      <color indexed="12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indexed="12"/>
      <name val="Century Gothic"/>
      <family val="2"/>
    </font>
    <font>
      <sz val="11"/>
      <color indexed="12"/>
      <name val="Century Gothic"/>
      <family val="2"/>
    </font>
    <font>
      <b/>
      <sz val="11"/>
      <color indexed="8"/>
      <name val="Calibri"/>
      <family val="2"/>
    </font>
    <font>
      <sz val="11"/>
      <color indexed="8"/>
      <name val="Century Gothic"/>
      <family val="2"/>
    </font>
    <font>
      <b/>
      <sz val="14"/>
      <color rgb="FF0000FF"/>
      <name val="Century Gothic"/>
      <family val="2"/>
    </font>
    <font>
      <b/>
      <sz val="11"/>
      <name val="Calibri"/>
      <family val="2"/>
    </font>
    <font>
      <b/>
      <sz val="11"/>
      <color indexed="30"/>
      <name val="Calibri"/>
      <family val="2"/>
    </font>
    <font>
      <b/>
      <sz val="8"/>
      <name val="Calibri"/>
      <family val="2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20"/>
      <color indexed="8"/>
      <name val="Calibri"/>
      <family val="2"/>
    </font>
    <font>
      <sz val="11"/>
      <name val="Calibri"/>
      <family val="2"/>
    </font>
    <font>
      <sz val="14"/>
      <name val="Calibri"/>
      <family val="2"/>
      <scheme val="minor"/>
    </font>
    <font>
      <b/>
      <sz val="14"/>
      <color indexed="28"/>
      <name val="Century Gothic"/>
      <family val="2"/>
    </font>
    <font>
      <sz val="11"/>
      <color rgb="FF0000FF"/>
      <name val="Calibri"/>
      <family val="2"/>
      <scheme val="minor"/>
    </font>
    <font>
      <sz val="18"/>
      <color indexed="8"/>
      <name val="Calibri"/>
      <family val="2"/>
    </font>
    <font>
      <sz val="16"/>
      <color indexed="8"/>
      <name val="Calibri"/>
      <family val="2"/>
    </font>
    <font>
      <b/>
      <sz val="8"/>
      <color theme="0"/>
      <name val="Calibri"/>
      <family val="2"/>
      <scheme val="minor"/>
    </font>
    <font>
      <b/>
      <sz val="8"/>
      <color indexed="30"/>
      <name val="Calibri"/>
      <family val="2"/>
    </font>
    <font>
      <b/>
      <sz val="8"/>
      <color indexed="8"/>
      <name val="Calibri"/>
      <family val="2"/>
    </font>
    <font>
      <sz val="10"/>
      <color rgb="FF222222"/>
      <name val="Arial"/>
      <family val="2"/>
    </font>
    <font>
      <b/>
      <sz val="10"/>
      <name val="Times New Roman"/>
      <family val="1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sz val="8"/>
      <color theme="4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4"/>
      <color rgb="FF0070C0"/>
      <name val="Century Gothic"/>
      <family val="2"/>
    </font>
    <font>
      <b/>
      <sz val="13.5"/>
      <color rgb="FF0070C0"/>
      <name val="Century Gothic"/>
      <family val="2"/>
    </font>
    <font>
      <b/>
      <sz val="10"/>
      <color indexed="10"/>
      <name val="Arial"/>
      <family val="2"/>
    </font>
    <font>
      <b/>
      <sz val="9"/>
      <color rgb="FF0000FF"/>
      <name val="Calibri"/>
      <family val="2"/>
    </font>
    <font>
      <u/>
      <sz val="8.5"/>
      <color indexed="12"/>
      <name val="Century Gothic"/>
      <family val="2"/>
    </font>
    <font>
      <b/>
      <sz val="9"/>
      <color indexed="12"/>
      <name val="Century Gothic"/>
      <family val="2"/>
    </font>
    <font>
      <b/>
      <sz val="9"/>
      <color indexed="56"/>
      <name val="Century Gothic"/>
      <family val="2"/>
    </font>
    <font>
      <b/>
      <sz val="7"/>
      <color indexed="30"/>
      <name val="Century Gothic"/>
      <family val="2"/>
    </font>
    <font>
      <b/>
      <sz val="7"/>
      <name val="Century Gothic"/>
      <family val="2"/>
    </font>
    <font>
      <b/>
      <sz val="7"/>
      <color indexed="36"/>
      <name val="Century Gothic"/>
      <family val="2"/>
    </font>
    <font>
      <b/>
      <sz val="7"/>
      <color indexed="10"/>
      <name val="Century Gothic"/>
      <family val="2"/>
    </font>
    <font>
      <sz val="11"/>
      <color theme="1"/>
      <name val="Century Gothic"/>
      <family val="2"/>
    </font>
    <font>
      <b/>
      <sz val="9"/>
      <color indexed="60"/>
      <name val="Century Gothic"/>
      <family val="2"/>
    </font>
    <font>
      <b/>
      <sz val="9"/>
      <name val="Century Gothic"/>
      <family val="2"/>
    </font>
    <font>
      <b/>
      <sz val="9"/>
      <color indexed="30"/>
      <name val="Century Gothic"/>
      <family val="2"/>
    </font>
    <font>
      <b/>
      <sz val="9"/>
      <color indexed="36"/>
      <name val="Century Gothic"/>
      <family val="2"/>
    </font>
    <font>
      <b/>
      <sz val="9"/>
      <color rgb="FF0070C0"/>
      <name val="Century Gothic"/>
      <family val="2"/>
    </font>
    <font>
      <b/>
      <sz val="9"/>
      <color rgb="FFFF0000"/>
      <name val="Century Gothic"/>
      <family val="2"/>
    </font>
    <font>
      <u/>
      <sz val="11"/>
      <color theme="10"/>
      <name val="Century Gothic"/>
      <family val="2"/>
    </font>
    <font>
      <sz val="14"/>
      <name val="Cordia New"/>
      <family val="2"/>
      <charset val="222"/>
    </font>
    <font>
      <sz val="8"/>
      <color theme="1"/>
      <name val="Century Gothic"/>
      <family val="2"/>
    </font>
    <font>
      <b/>
      <sz val="9"/>
      <name val="Arial"/>
      <family val="2"/>
    </font>
    <font>
      <b/>
      <i/>
      <sz val="11"/>
      <color theme="0"/>
      <name val="Calibri"/>
      <family val="2"/>
    </font>
    <font>
      <b/>
      <i/>
      <sz val="11"/>
      <color rgb="FFFF0000"/>
      <name val="Calibri"/>
      <family val="2"/>
    </font>
    <font>
      <u/>
      <sz val="11"/>
      <color theme="10"/>
      <name val="Calibri"/>
      <family val="2"/>
    </font>
    <font>
      <sz val="12"/>
      <name val="¹ÙÅÁÃ¼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4"/>
      <name val="AngsanaUPC"/>
      <family val="1"/>
      <charset val="222"/>
    </font>
    <font>
      <sz val="11"/>
      <color indexed="2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Arial"/>
      <family val="2"/>
    </font>
    <font>
      <sz val="10"/>
      <color theme="1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.5"/>
      <color indexed="12"/>
      <name val="Cordia New"/>
      <family val="2"/>
      <charset val="222"/>
    </font>
    <font>
      <u/>
      <sz val="8.25"/>
      <color indexed="12"/>
      <name val="Times New Roman"/>
      <family val="1"/>
    </font>
    <font>
      <u/>
      <sz val="8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</font>
    <font>
      <sz val="10"/>
      <name val="Courier"/>
      <charset val="134"/>
    </font>
    <font>
      <sz val="14"/>
      <name val="Cordia New"/>
      <family val="2"/>
      <charset val="222"/>
    </font>
    <font>
      <sz val="10"/>
      <color theme="1"/>
      <name val="Calibri Light"/>
      <family val="2"/>
    </font>
    <font>
      <sz val="10"/>
      <color theme="1"/>
      <name val="Courier New"/>
      <family val="3"/>
    </font>
    <font>
      <b/>
      <sz val="11"/>
      <color indexed="63"/>
      <name val="Calibri"/>
      <family val="2"/>
    </font>
    <font>
      <b/>
      <sz val="11"/>
      <color indexed="63"/>
      <name val="Calibri"/>
      <family val="2"/>
    </font>
    <font>
      <sz val="10"/>
      <color indexed="8"/>
      <name val="Calibri Light"/>
      <family val="2"/>
    </font>
    <font>
      <b/>
      <sz val="9"/>
      <color indexed="12"/>
      <name val="Arial"/>
      <family val="2"/>
    </font>
    <font>
      <i/>
      <sz val="11"/>
      <color rgb="FF7F7F7F"/>
      <name val="Calibri"/>
      <family val="2"/>
      <scheme val="minor"/>
    </font>
    <font>
      <b/>
      <sz val="18"/>
      <color indexed="62"/>
      <name val="Cambria"/>
      <family val="1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sz val="12"/>
      <name val="นูลมรผ"/>
      <charset val="129"/>
    </font>
    <font>
      <b/>
      <sz val="12"/>
      <color rgb="FF0070C0"/>
      <name val="Century Gothic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name val="Century Gothic"/>
      <family val="2"/>
    </font>
    <font>
      <sz val="11"/>
      <color rgb="FFFF0000"/>
      <name val="Calibri"/>
      <family val="2"/>
    </font>
  </fonts>
  <fills count="9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B5A56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FFA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8B3FD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9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patternFill patternType="solid">
        <fgColor indexed="3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theme="3" tint="-0.249977111117893"/>
        <bgColor indexed="64"/>
      </patternFill>
    </fill>
  </fills>
  <borders count="1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theme="4" tint="0.39991454817346722"/>
      </bottom>
      <diagonal/>
    </border>
    <border>
      <left/>
      <right/>
      <top style="thin">
        <color theme="4" tint="0.39991454817346722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 diagonalUp="1" diagonalDown="1">
      <left/>
      <right/>
      <top/>
      <bottom/>
      <diagonal style="thin">
        <color theme="0"/>
      </diagonal>
    </border>
    <border diagonalUp="1" diagonalDown="1">
      <left style="thin">
        <color theme="0"/>
      </left>
      <right/>
      <top style="thin">
        <color theme="0"/>
      </top>
      <bottom/>
      <diagonal style="thin">
        <color theme="0"/>
      </diagonal>
    </border>
    <border diagonalUp="1" diagonalDown="1">
      <left/>
      <right/>
      <top style="thin">
        <color theme="0"/>
      </top>
      <bottom/>
      <diagonal style="thin">
        <color theme="0"/>
      </diagonal>
    </border>
    <border diagonalUp="1" diagonalDown="1">
      <left style="thin">
        <color theme="0"/>
      </left>
      <right/>
      <top/>
      <bottom/>
      <diagonal style="thin">
        <color theme="0"/>
      </diagonal>
    </border>
    <border diagonalUp="1" diagonalDown="1">
      <left style="thin">
        <color theme="0"/>
      </left>
      <right/>
      <top/>
      <bottom style="thin">
        <color theme="0"/>
      </bottom>
      <diagonal style="thin">
        <color theme="0"/>
      </diagonal>
    </border>
    <border diagonalUp="1" diagonalDown="1">
      <left/>
      <right/>
      <top/>
      <bottom style="thin">
        <color theme="0"/>
      </bottom>
      <diagonal style="thin">
        <color theme="0"/>
      </diagonal>
    </border>
    <border diagonalUp="1" diagonalDown="1">
      <left/>
      <right style="thin">
        <color theme="0"/>
      </right>
      <top style="thin">
        <color theme="0"/>
      </top>
      <bottom/>
      <diagonal style="thin">
        <color theme="0"/>
      </diagonal>
    </border>
    <border diagonalUp="1" diagonalDown="1">
      <left/>
      <right style="thin">
        <color theme="0"/>
      </right>
      <top/>
      <bottom/>
      <diagonal style="thin">
        <color theme="0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09">
    <xf numFmtId="164" fontId="0" fillId="0" borderId="0"/>
    <xf numFmtId="165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41" fontId="163" fillId="0" borderId="0" applyFont="0" applyFill="0" applyBorder="0" applyAlignment="0" applyProtection="0"/>
    <xf numFmtId="164" fontId="104" fillId="0" borderId="0" applyNumberFormat="0" applyFill="0" applyBorder="0" applyAlignment="0" applyProtection="0">
      <alignment vertical="top"/>
      <protection locked="0"/>
    </xf>
    <xf numFmtId="166" fontId="17" fillId="0" borderId="0">
      <protection locked="0"/>
    </xf>
    <xf numFmtId="167" fontId="17" fillId="0" borderId="0">
      <protection locked="0"/>
    </xf>
    <xf numFmtId="168" fontId="17" fillId="0" borderId="0">
      <protection locked="0"/>
    </xf>
    <xf numFmtId="169" fontId="17" fillId="0" borderId="0">
      <protection locked="0"/>
    </xf>
    <xf numFmtId="170" fontId="17" fillId="0" borderId="0">
      <protection locked="0"/>
    </xf>
    <xf numFmtId="171" fontId="17" fillId="0" borderId="0">
      <protection locked="0"/>
    </xf>
    <xf numFmtId="9" fontId="105" fillId="0" borderId="0" applyFont="0" applyFill="0" applyBorder="0" applyAlignment="0" applyProtection="0"/>
    <xf numFmtId="0" fontId="163" fillId="50" borderId="0" applyNumberFormat="0" applyBorder="0" applyAlignment="0" applyProtection="0"/>
    <xf numFmtId="0" fontId="106" fillId="32" borderId="0" applyNumberFormat="0" applyBorder="0" applyAlignment="0" applyProtection="0"/>
    <xf numFmtId="0" fontId="60" fillId="65" borderId="0" applyNumberFormat="0" applyBorder="0" applyAlignment="0" applyProtection="0"/>
    <xf numFmtId="0" fontId="163" fillId="66" borderId="0" applyNumberFormat="0" applyBorder="0" applyAlignment="0" applyProtection="0"/>
    <xf numFmtId="0" fontId="106" fillId="26" borderId="0" applyNumberFormat="0" applyBorder="0" applyAlignment="0" applyProtection="0"/>
    <xf numFmtId="0" fontId="60" fillId="32" borderId="0" applyNumberFormat="0" applyBorder="0" applyAlignment="0" applyProtection="0"/>
    <xf numFmtId="0" fontId="163" fillId="67" borderId="0" applyNumberFormat="0" applyBorder="0" applyAlignment="0" applyProtection="0"/>
    <xf numFmtId="0" fontId="106" fillId="68" borderId="0" applyNumberFormat="0" applyBorder="0" applyAlignment="0" applyProtection="0"/>
    <xf numFmtId="0" fontId="60" fillId="3" borderId="0" applyNumberFormat="0" applyBorder="0" applyAlignment="0" applyProtection="0"/>
    <xf numFmtId="0" fontId="163" fillId="69" borderId="0" applyNumberFormat="0" applyBorder="0" applyAlignment="0" applyProtection="0"/>
    <xf numFmtId="0" fontId="60" fillId="42" borderId="0" applyNumberFormat="0" applyBorder="0" applyAlignment="0" applyProtection="0"/>
    <xf numFmtId="0" fontId="163" fillId="13" borderId="0" applyNumberFormat="0" applyBorder="0" applyAlignment="0" applyProtection="0"/>
    <xf numFmtId="0" fontId="106" fillId="70" borderId="0" applyNumberFormat="0" applyBorder="0" applyAlignment="0" applyProtection="0"/>
    <xf numFmtId="0" fontId="60" fillId="70" borderId="0" applyNumberFormat="0" applyBorder="0" applyAlignment="0" applyProtection="0"/>
    <xf numFmtId="0" fontId="163" fillId="6" borderId="0" applyNumberFormat="0" applyBorder="0" applyAlignment="0" applyProtection="0"/>
    <xf numFmtId="0" fontId="60" fillId="26" borderId="0" applyNumberFormat="0" applyBorder="0" applyAlignment="0" applyProtection="0"/>
    <xf numFmtId="0" fontId="60" fillId="71" borderId="0" applyNumberFormat="0" applyBorder="0" applyAlignment="0" applyProtection="0"/>
    <xf numFmtId="0" fontId="60" fillId="72" borderId="0" applyNumberFormat="0" applyBorder="0" applyAlignment="0" applyProtection="0"/>
    <xf numFmtId="0" fontId="60" fillId="73" borderId="0" applyNumberFormat="0" applyBorder="0" applyAlignment="0" applyProtection="0"/>
    <xf numFmtId="0" fontId="60" fillId="74" borderId="0" applyNumberFormat="0" applyBorder="0" applyAlignment="0" applyProtection="0"/>
    <xf numFmtId="0" fontId="60" fillId="75" borderId="0" applyNumberFormat="0" applyBorder="0" applyAlignment="0" applyProtection="0"/>
    <xf numFmtId="0" fontId="60" fillId="76" borderId="0" applyNumberFormat="0" applyBorder="0" applyAlignment="0" applyProtection="0"/>
    <xf numFmtId="0" fontId="163" fillId="52" borderId="0" applyNumberFormat="0" applyBorder="0" applyAlignment="0" applyProtection="0"/>
    <xf numFmtId="0" fontId="106" fillId="46" borderId="0" applyNumberFormat="0" applyBorder="0" applyAlignment="0" applyProtection="0"/>
    <xf numFmtId="0" fontId="60" fillId="45" borderId="0" applyNumberFormat="0" applyBorder="0" applyAlignment="0" applyProtection="0"/>
    <xf numFmtId="0" fontId="163" fillId="33" borderId="0" applyNumberFormat="0" applyBorder="0" applyAlignment="0" applyProtection="0"/>
    <xf numFmtId="0" fontId="106" fillId="47" borderId="0" applyNumberFormat="0" applyBorder="0" applyAlignment="0" applyProtection="0"/>
    <xf numFmtId="0" fontId="60" fillId="47" borderId="0" applyNumberFormat="0" applyBorder="0" applyAlignment="0" applyProtection="0"/>
    <xf numFmtId="0" fontId="163" fillId="77" borderId="0" applyNumberFormat="0" applyBorder="0" applyAlignment="0" applyProtection="0"/>
    <xf numFmtId="0" fontId="106" fillId="31" borderId="0" applyNumberFormat="0" applyBorder="0" applyAlignment="0" applyProtection="0"/>
    <xf numFmtId="0" fontId="60" fillId="37" borderId="0" applyNumberFormat="0" applyBorder="0" applyAlignment="0" applyProtection="0"/>
    <xf numFmtId="0" fontId="163" fillId="39" borderId="0" applyNumberFormat="0" applyBorder="0" applyAlignment="0" applyProtection="0"/>
    <xf numFmtId="0" fontId="163" fillId="78" borderId="0" applyNumberFormat="0" applyBorder="0" applyAlignment="0" applyProtection="0"/>
    <xf numFmtId="0" fontId="106" fillId="45" borderId="0" applyNumberFormat="0" applyBorder="0" applyAlignment="0" applyProtection="0"/>
    <xf numFmtId="0" fontId="163" fillId="79" borderId="0" applyNumberFormat="0" applyBorder="0" applyAlignment="0" applyProtection="0"/>
    <xf numFmtId="0" fontId="60" fillId="43" borderId="0" applyNumberFormat="0" applyBorder="0" applyAlignment="0" applyProtection="0"/>
    <xf numFmtId="0" fontId="60" fillId="80" borderId="0" applyNumberFormat="0" applyBorder="0" applyAlignment="0" applyProtection="0"/>
    <xf numFmtId="0" fontId="60" fillId="81" borderId="0" applyNumberFormat="0" applyBorder="0" applyAlignment="0" applyProtection="0"/>
    <xf numFmtId="0" fontId="60" fillId="82" borderId="0" applyNumberFormat="0" applyBorder="0" applyAlignment="0" applyProtection="0"/>
    <xf numFmtId="0" fontId="60" fillId="83" borderId="0" applyNumberFormat="0" applyBorder="0" applyAlignment="0" applyProtection="0"/>
    <xf numFmtId="0" fontId="107" fillId="48" borderId="0" applyNumberFormat="0" applyBorder="0" applyAlignment="0" applyProtection="0"/>
    <xf numFmtId="0" fontId="108" fillId="84" borderId="0" applyNumberFormat="0" applyBorder="0" applyAlignment="0" applyProtection="0"/>
    <xf numFmtId="0" fontId="107" fillId="47" borderId="0" applyNumberFormat="0" applyBorder="0" applyAlignment="0" applyProtection="0"/>
    <xf numFmtId="0" fontId="108" fillId="47" borderId="0" applyNumberFormat="0" applyBorder="0" applyAlignment="0" applyProtection="0"/>
    <xf numFmtId="0" fontId="107" fillId="31" borderId="0" applyNumberFormat="0" applyBorder="0" applyAlignment="0" applyProtection="0"/>
    <xf numFmtId="0" fontId="108" fillId="37" borderId="0" applyNumberFormat="0" applyBorder="0" applyAlignment="0" applyProtection="0"/>
    <xf numFmtId="0" fontId="107" fillId="46" borderId="0" applyNumberFormat="0" applyBorder="0" applyAlignment="0" applyProtection="0"/>
    <xf numFmtId="0" fontId="108" fillId="85" borderId="0" applyNumberFormat="0" applyBorder="0" applyAlignment="0" applyProtection="0"/>
    <xf numFmtId="0" fontId="108" fillId="48" borderId="0" applyNumberFormat="0" applyBorder="0" applyAlignment="0" applyProtection="0"/>
    <xf numFmtId="0" fontId="107" fillId="26" borderId="0" applyNumberFormat="0" applyBorder="0" applyAlignment="0" applyProtection="0"/>
    <xf numFmtId="0" fontId="108" fillId="49" borderId="0" applyNumberFormat="0" applyBorder="0" applyAlignment="0" applyProtection="0"/>
    <xf numFmtId="0" fontId="108" fillId="86" borderId="0" applyNumberFormat="0" applyBorder="0" applyAlignment="0" applyProtection="0"/>
    <xf numFmtId="0" fontId="108" fillId="81" borderId="0" applyNumberFormat="0" applyBorder="0" applyAlignment="0" applyProtection="0"/>
    <xf numFmtId="0" fontId="108" fillId="82" borderId="0" applyNumberFormat="0" applyBorder="0" applyAlignment="0" applyProtection="0"/>
    <xf numFmtId="0" fontId="108" fillId="87" borderId="0" applyNumberFormat="0" applyBorder="0" applyAlignment="0" applyProtection="0"/>
    <xf numFmtId="0" fontId="108" fillId="88" borderId="0" applyNumberFormat="0" applyBorder="0" applyAlignment="0" applyProtection="0"/>
    <xf numFmtId="0" fontId="108" fillId="89" borderId="0" applyNumberFormat="0" applyBorder="0" applyAlignment="0" applyProtection="0"/>
    <xf numFmtId="9" fontId="109" fillId="0" borderId="0"/>
    <xf numFmtId="9" fontId="110" fillId="0" borderId="0"/>
    <xf numFmtId="0" fontId="108" fillId="90" borderId="0" applyNumberFormat="0" applyBorder="0" applyAlignment="0" applyProtection="0"/>
    <xf numFmtId="0" fontId="107" fillId="91" borderId="0" applyNumberFormat="0" applyBorder="0" applyAlignment="0" applyProtection="0"/>
    <xf numFmtId="0" fontId="108" fillId="91" borderId="0" applyNumberFormat="0" applyBorder="0" applyAlignment="0" applyProtection="0"/>
    <xf numFmtId="0" fontId="107" fillId="62" borderId="0" applyNumberFormat="0" applyBorder="0" applyAlignment="0" applyProtection="0"/>
    <xf numFmtId="0" fontId="108" fillId="62" borderId="0" applyNumberFormat="0" applyBorder="0" applyAlignment="0" applyProtection="0"/>
    <xf numFmtId="0" fontId="107" fillId="92" borderId="0" applyNumberFormat="0" applyBorder="0" applyAlignment="0" applyProtection="0"/>
    <xf numFmtId="0" fontId="107" fillId="54" borderId="0" applyNumberFormat="0" applyBorder="0" applyAlignment="0" applyProtection="0"/>
    <xf numFmtId="0" fontId="108" fillId="54" borderId="0" applyNumberFormat="0" applyBorder="0" applyAlignment="0" applyProtection="0"/>
    <xf numFmtId="172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11" fillId="42" borderId="0" applyNumberFormat="0" applyBorder="0" applyAlignment="0" applyProtection="0"/>
    <xf numFmtId="0" fontId="112" fillId="32" borderId="0" applyNumberFormat="0" applyBorder="0" applyAlignment="0" applyProtection="0"/>
    <xf numFmtId="0" fontId="105" fillId="0" borderId="0"/>
    <xf numFmtId="0" fontId="113" fillId="32" borderId="151" applyNumberFormat="0" applyAlignment="0" applyProtection="0"/>
    <xf numFmtId="0" fontId="114" fillId="46" borderId="151" applyNumberFormat="0" applyAlignment="0" applyProtection="0"/>
    <xf numFmtId="0" fontId="115" fillId="93" borderId="152" applyNumberFormat="0" applyAlignment="0" applyProtection="0"/>
    <xf numFmtId="0" fontId="116" fillId="93" borderId="152" applyNumberFormat="0" applyAlignment="0" applyProtection="0"/>
    <xf numFmtId="41" fontId="117" fillId="0" borderId="0" applyFont="0" applyFill="0" applyBorder="0" applyAlignment="0" applyProtection="0"/>
    <xf numFmtId="41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18" fillId="0" borderId="0" applyFont="0" applyFill="0" applyBorder="0" applyAlignment="0" applyProtection="0"/>
    <xf numFmtId="165" fontId="99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63" fillId="0" borderId="0" applyFont="0" applyFill="0" applyBorder="0" applyAlignment="0" applyProtection="0"/>
    <xf numFmtId="165" fontId="163" fillId="0" borderId="0" applyFont="0" applyFill="0" applyBorder="0" applyAlignment="0" applyProtection="0"/>
    <xf numFmtId="165" fontId="60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163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26" borderId="0">
      <alignment horizontal="right"/>
      <protection locked="0"/>
    </xf>
    <xf numFmtId="165" fontId="120" fillId="0" borderId="0" applyFont="0" applyFill="0" applyBorder="0" applyAlignment="0" applyProtection="0"/>
    <xf numFmtId="3" fontId="17" fillId="0" borderId="0" applyFill="0" applyBorder="0" applyAlignment="0" applyProtection="0"/>
    <xf numFmtId="177" fontId="17" fillId="0" borderId="0">
      <alignment horizontal="right"/>
    </xf>
    <xf numFmtId="178" fontId="17" fillId="0" borderId="0">
      <alignment horizontal="right"/>
    </xf>
    <xf numFmtId="178" fontId="17" fillId="0" borderId="0">
      <alignment horizontal="right"/>
    </xf>
    <xf numFmtId="173" fontId="99" fillId="0" borderId="0" applyFont="0" applyFill="0" applyBorder="0" applyAlignment="0" applyProtection="0"/>
    <xf numFmtId="44" fontId="17" fillId="0" borderId="0" applyFont="0" applyFill="0" applyBorder="0" applyAlignment="0" applyProtection="0"/>
    <xf numFmtId="5" fontId="17" fillId="0" borderId="0" applyFill="0" applyBorder="0" applyAlignment="0" applyProtection="0"/>
    <xf numFmtId="179" fontId="17" fillId="0" borderId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2" fontId="17" fillId="0" borderId="0" applyFill="0" applyBorder="0" applyAlignment="0" applyProtection="0"/>
    <xf numFmtId="0" fontId="123" fillId="3" borderId="0" applyNumberFormat="0" applyBorder="0" applyAlignment="0" applyProtection="0"/>
    <xf numFmtId="0" fontId="124" fillId="3" borderId="0" applyNumberFormat="0" applyBorder="0" applyAlignment="0" applyProtection="0"/>
    <xf numFmtId="38" fontId="119" fillId="46" borderId="0" applyNumberFormat="0" applyBorder="0" applyAlignment="0" applyProtection="0"/>
    <xf numFmtId="164" fontId="125" fillId="0" borderId="108" applyNumberFormat="0" applyAlignment="0" applyProtection="0">
      <alignment horizontal="left" vertical="center"/>
    </xf>
    <xf numFmtId="0" fontId="125" fillId="0" borderId="108" applyNumberFormat="0" applyAlignment="0" applyProtection="0">
      <alignment horizontal="left" vertical="center"/>
    </xf>
    <xf numFmtId="164" fontId="125" fillId="0" borderId="58">
      <alignment horizontal="left" vertical="center"/>
    </xf>
    <xf numFmtId="0" fontId="125" fillId="0" borderId="58">
      <alignment horizontal="left" vertical="center"/>
    </xf>
    <xf numFmtId="0" fontId="126" fillId="0" borderId="153" applyNumberFormat="0" applyFill="0" applyAlignment="0" applyProtection="0"/>
    <xf numFmtId="0" fontId="127" fillId="0" borderId="154" applyNumberFormat="0" applyFill="0" applyAlignment="0" applyProtection="0"/>
    <xf numFmtId="0" fontId="128" fillId="0" borderId="0" applyNumberFormat="0" applyFill="0" applyBorder="0" applyAlignment="0" applyProtection="0"/>
    <xf numFmtId="0" fontId="129" fillId="0" borderId="155" applyNumberFormat="0" applyFill="0" applyAlignment="0" applyProtection="0"/>
    <xf numFmtId="0" fontId="130" fillId="0" borderId="155" applyNumberFormat="0" applyFill="0" applyAlignment="0" applyProtection="0"/>
    <xf numFmtId="0" fontId="125" fillId="0" borderId="0" applyNumberFormat="0" applyFill="0" applyBorder="0" applyAlignment="0" applyProtection="0"/>
    <xf numFmtId="0" fontId="131" fillId="0" borderId="156" applyNumberFormat="0" applyFill="0" applyAlignment="0" applyProtection="0"/>
    <xf numFmtId="0" fontId="132" fillId="0" borderId="157" applyNumberFormat="0" applyFill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164" fontId="136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/>
    <xf numFmtId="10" fontId="119" fillId="5" borderId="1" applyNumberFormat="0" applyBorder="0" applyAlignment="0" applyProtection="0"/>
    <xf numFmtId="0" fontId="138" fillId="26" borderId="151" applyNumberFormat="0" applyAlignment="0" applyProtection="0"/>
    <xf numFmtId="0" fontId="139" fillId="26" borderId="151" applyNumberFormat="0" applyAlignment="0" applyProtection="0"/>
    <xf numFmtId="0" fontId="140" fillId="0" borderId="158" applyNumberFormat="0" applyFill="0" applyAlignment="0" applyProtection="0"/>
    <xf numFmtId="0" fontId="141" fillId="0" borderId="158" applyNumberFormat="0" applyFill="0" applyAlignment="0" applyProtection="0"/>
    <xf numFmtId="0" fontId="142" fillId="31" borderId="0" applyNumberFormat="0" applyBorder="0" applyAlignment="0" applyProtection="0"/>
    <xf numFmtId="0" fontId="143" fillId="31" borderId="0" applyNumberFormat="0" applyBorder="0" applyAlignment="0" applyProtection="0"/>
    <xf numFmtId="0" fontId="144" fillId="0" borderId="0"/>
    <xf numFmtId="180" fontId="17" fillId="0" borderId="0"/>
    <xf numFmtId="0" fontId="17" fillId="0" borderId="0"/>
    <xf numFmtId="0" fontId="163" fillId="0" borderId="0"/>
    <xf numFmtId="0" fontId="99" fillId="0" borderId="0"/>
    <xf numFmtId="0" fontId="17" fillId="0" borderId="0"/>
    <xf numFmtId="0" fontId="117" fillId="0" borderId="0"/>
    <xf numFmtId="0" fontId="118" fillId="0" borderId="0"/>
    <xf numFmtId="0" fontId="11" fillId="0" borderId="0"/>
    <xf numFmtId="0" fontId="145" fillId="0" borderId="0"/>
    <xf numFmtId="0" fontId="119" fillId="0" borderId="0"/>
    <xf numFmtId="164" fontId="99" fillId="0" borderId="0"/>
    <xf numFmtId="0" fontId="163" fillId="0" borderId="0"/>
    <xf numFmtId="164" fontId="17" fillId="0" borderId="0"/>
    <xf numFmtId="181" fontId="163" fillId="0" borderId="0"/>
    <xf numFmtId="164" fontId="17" fillId="0" borderId="0"/>
    <xf numFmtId="0" fontId="21" fillId="0" borderId="0">
      <alignment vertical="top"/>
    </xf>
    <xf numFmtId="0" fontId="146" fillId="0" borderId="0"/>
    <xf numFmtId="0" fontId="147" fillId="0" borderId="0"/>
    <xf numFmtId="0" fontId="120" fillId="0" borderId="0"/>
    <xf numFmtId="43" fontId="21" fillId="26" borderId="28">
      <alignment horizontal="right"/>
      <protection locked="0"/>
    </xf>
    <xf numFmtId="0" fontId="21" fillId="94" borderId="28">
      <alignment horizontal="center"/>
      <protection locked="0"/>
    </xf>
    <xf numFmtId="0" fontId="21" fillId="26" borderId="28">
      <alignment horizontal="right"/>
      <protection locked="0"/>
    </xf>
    <xf numFmtId="0" fontId="21" fillId="48" borderId="0">
      <alignment horizontal="center"/>
      <protection locked="0"/>
    </xf>
    <xf numFmtId="0" fontId="21" fillId="48" borderId="28">
      <alignment horizontal="center"/>
      <protection locked="0"/>
    </xf>
    <xf numFmtId="0" fontId="21" fillId="31" borderId="28">
      <alignment horizontal="center"/>
      <protection locked="0"/>
    </xf>
    <xf numFmtId="0" fontId="17" fillId="3" borderId="28">
      <alignment horizontal="center"/>
      <protection locked="0"/>
    </xf>
    <xf numFmtId="0" fontId="17" fillId="0" borderId="0"/>
    <xf numFmtId="0" fontId="21" fillId="3" borderId="28">
      <alignment horizontal="center"/>
      <protection locked="0"/>
    </xf>
    <xf numFmtId="49" fontId="21" fillId="95" borderId="28">
      <alignment horizontal="center"/>
      <protection locked="0"/>
    </xf>
    <xf numFmtId="0" fontId="21" fillId="95" borderId="28">
      <alignment horizontal="center"/>
      <protection locked="0"/>
    </xf>
    <xf numFmtId="0" fontId="21" fillId="0" borderId="0">
      <alignment horizontal="center"/>
      <protection locked="0"/>
    </xf>
    <xf numFmtId="0" fontId="163" fillId="96" borderId="149" applyNumberFormat="0" applyFont="0" applyAlignment="0" applyProtection="0"/>
    <xf numFmtId="0" fontId="17" fillId="68" borderId="159" applyNumberFormat="0" applyFont="0" applyAlignment="0" applyProtection="0"/>
    <xf numFmtId="0" fontId="148" fillId="32" borderId="160" applyNumberFormat="0" applyAlignment="0" applyProtection="0"/>
    <xf numFmtId="0" fontId="149" fillId="46" borderId="160" applyNumberFormat="0" applyAlignment="0" applyProtection="0"/>
    <xf numFmtId="9" fontId="1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99" fillId="0" borderId="0" applyFont="0" applyFill="0" applyBorder="0" applyAlignment="0" applyProtection="0"/>
    <xf numFmtId="164" fontId="151" fillId="64" borderId="2">
      <alignment horizontal="center" vertical="center"/>
    </xf>
    <xf numFmtId="164" fontId="152" fillId="97" borderId="150" applyAlignment="0">
      <alignment horizontal="center"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5" fillId="0" borderId="161" applyNumberFormat="0" applyFill="0" applyAlignment="0" applyProtection="0"/>
    <xf numFmtId="0" fontId="54" fillId="0" borderId="162" applyNumberFormat="0" applyFill="0" applyAlignment="0" applyProtection="0"/>
    <xf numFmtId="0" fontId="17" fillId="0" borderId="163" applyNumberFormat="0" applyFill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9">
      <alignment horizontal="center"/>
    </xf>
    <xf numFmtId="9" fontId="159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7" fontId="17" fillId="0" borderId="0" applyFont="0" applyFill="0" applyBorder="0" applyAlignment="0" applyProtection="0"/>
    <xf numFmtId="164" fontId="159" fillId="0" borderId="0"/>
  </cellStyleXfs>
  <cellXfs count="1127">
    <xf numFmtId="164" fontId="0" fillId="0" borderId="0" xfId="0"/>
    <xf numFmtId="0" fontId="3" fillId="3" borderId="9" xfId="151" applyFont="1" applyFill="1" applyBorder="1" applyAlignment="1">
      <alignment horizontal="center" vertical="center" wrapText="1"/>
    </xf>
    <xf numFmtId="1" fontId="0" fillId="4" borderId="10" xfId="0" applyNumberFormat="1" applyFill="1" applyBorder="1" applyAlignment="1">
      <alignment horizontal="center" vertical="center"/>
    </xf>
    <xf numFmtId="43" fontId="3" fillId="4" borderId="10" xfId="100" applyFont="1" applyFill="1" applyBorder="1" applyAlignment="1">
      <alignment horizontal="center" vertical="center" wrapText="1"/>
    </xf>
    <xf numFmtId="0" fontId="3" fillId="4" borderId="10" xfId="151" applyFont="1" applyFill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/>
    </xf>
    <xf numFmtId="43" fontId="4" fillId="5" borderId="11" xfId="100" applyFont="1" applyFill="1" applyBorder="1" applyAlignment="1">
      <alignment horizontal="right" vertical="center"/>
    </xf>
    <xf numFmtId="165" fontId="4" fillId="5" borderId="11" xfId="1" applyFont="1" applyFill="1" applyBorder="1" applyAlignment="1">
      <alignment horizontal="right" vertical="center"/>
    </xf>
    <xf numFmtId="1" fontId="0" fillId="0" borderId="10" xfId="0" applyNumberFormat="1" applyBorder="1" applyAlignment="1">
      <alignment horizontal="center" vertical="center"/>
    </xf>
    <xf numFmtId="43" fontId="4" fillId="5" borderId="10" xfId="100" applyFont="1" applyFill="1" applyBorder="1" applyAlignment="1">
      <alignment horizontal="right" vertical="center"/>
    </xf>
    <xf numFmtId="43" fontId="4" fillId="5" borderId="10" xfId="100" applyFont="1" applyFill="1" applyBorder="1" applyAlignment="1">
      <alignment horizontal="right"/>
    </xf>
    <xf numFmtId="43" fontId="5" fillId="5" borderId="10" xfId="100" applyFont="1" applyFill="1" applyBorder="1" applyAlignment="1">
      <alignment horizontal="right" vertical="center"/>
    </xf>
    <xf numFmtId="43" fontId="5" fillId="5" borderId="10" xfId="100" applyFont="1" applyFill="1" applyBorder="1" applyAlignment="1">
      <alignment horizontal="right"/>
    </xf>
    <xf numFmtId="164" fontId="0" fillId="0" borderId="10" xfId="0" applyBorder="1"/>
    <xf numFmtId="164" fontId="0" fillId="0" borderId="12" xfId="0" applyBorder="1"/>
    <xf numFmtId="1" fontId="0" fillId="0" borderId="13" xfId="0" applyNumberFormat="1" applyBorder="1" applyAlignment="1">
      <alignment horizontal="center" vertical="center"/>
    </xf>
    <xf numFmtId="164" fontId="0" fillId="0" borderId="13" xfId="0" applyBorder="1"/>
    <xf numFmtId="43" fontId="4" fillId="0" borderId="10" xfId="100" applyFont="1" applyFill="1" applyBorder="1" applyAlignment="1">
      <alignment horizontal="right" vertical="center"/>
    </xf>
    <xf numFmtId="165" fontId="3" fillId="4" borderId="10" xfId="1" applyFont="1" applyFill="1" applyBorder="1" applyAlignment="1">
      <alignment horizontal="center" vertical="center" wrapText="1"/>
    </xf>
    <xf numFmtId="43" fontId="3" fillId="4" borderId="10" xfId="151" applyNumberFormat="1" applyFont="1" applyFill="1" applyBorder="1" applyAlignment="1">
      <alignment horizontal="center" vertical="center" wrapText="1"/>
    </xf>
    <xf numFmtId="4" fontId="4" fillId="5" borderId="11" xfId="151" applyNumberFormat="1" applyFont="1" applyFill="1" applyBorder="1" applyAlignment="1">
      <alignment horizontal="right" vertical="center"/>
    </xf>
    <xf numFmtId="4" fontId="6" fillId="5" borderId="11" xfId="151" applyNumberFormat="1" applyFont="1" applyFill="1" applyBorder="1" applyAlignment="1">
      <alignment horizontal="right" vertical="center"/>
    </xf>
    <xf numFmtId="4" fontId="4" fillId="0" borderId="10" xfId="151" applyNumberFormat="1" applyFont="1" applyBorder="1" applyAlignment="1">
      <alignment horizontal="right" vertical="center"/>
    </xf>
    <xf numFmtId="4" fontId="4" fillId="0" borderId="10" xfId="151" applyNumberFormat="1" applyFont="1" applyBorder="1" applyAlignment="1">
      <alignment horizontal="right"/>
    </xf>
    <xf numFmtId="4" fontId="5" fillId="0" borderId="10" xfId="151" applyNumberFormat="1" applyFont="1" applyBorder="1" applyAlignment="1">
      <alignment horizontal="right" vertical="center"/>
    </xf>
    <xf numFmtId="4" fontId="5" fillId="0" borderId="10" xfId="151" applyNumberFormat="1" applyFont="1" applyBorder="1" applyAlignment="1">
      <alignment horizontal="right"/>
    </xf>
    <xf numFmtId="4" fontId="6" fillId="0" borderId="10" xfId="151" applyNumberFormat="1" applyFont="1" applyBorder="1" applyAlignment="1">
      <alignment horizontal="right" vertical="center"/>
    </xf>
    <xf numFmtId="4" fontId="4" fillId="5" borderId="13" xfId="151" applyNumberFormat="1" applyFont="1" applyFill="1" applyBorder="1" applyAlignment="1">
      <alignment horizontal="right" vertical="center"/>
    </xf>
    <xf numFmtId="164" fontId="7" fillId="0" borderId="0" xfId="0" applyFont="1"/>
    <xf numFmtId="164" fontId="8" fillId="0" borderId="0" xfId="0" applyFont="1"/>
    <xf numFmtId="1" fontId="7" fillId="0" borderId="16" xfId="0" applyNumberFormat="1" applyFont="1" applyBorder="1" applyAlignment="1">
      <alignment horizontal="center"/>
    </xf>
    <xf numFmtId="164" fontId="0" fillId="0" borderId="11" xfId="0" applyBorder="1"/>
    <xf numFmtId="182" fontId="9" fillId="0" borderId="17" xfId="1" applyNumberFormat="1" applyFont="1" applyBorder="1"/>
    <xf numFmtId="182" fontId="7" fillId="0" borderId="18" xfId="1" applyNumberFormat="1" applyFont="1" applyBorder="1"/>
    <xf numFmtId="164" fontId="0" fillId="7" borderId="10" xfId="0" applyFill="1" applyBorder="1"/>
    <xf numFmtId="164" fontId="8" fillId="0" borderId="10" xfId="0" applyFont="1" applyBorder="1"/>
    <xf numFmtId="182" fontId="10" fillId="0" borderId="18" xfId="1" applyNumberFormat="1" applyFont="1" applyBorder="1"/>
    <xf numFmtId="182" fontId="7" fillId="8" borderId="18" xfId="1" applyNumberFormat="1" applyFont="1" applyFill="1" applyBorder="1"/>
    <xf numFmtId="182" fontId="10" fillId="8" borderId="18" xfId="1" applyNumberFormat="1" applyFont="1" applyFill="1" applyBorder="1"/>
    <xf numFmtId="182" fontId="10" fillId="0" borderId="19" xfId="1" applyNumberFormat="1" applyFont="1" applyBorder="1"/>
    <xf numFmtId="182" fontId="11" fillId="0" borderId="16" xfId="1" applyNumberFormat="1" applyFont="1" applyBorder="1"/>
    <xf numFmtId="164" fontId="11" fillId="0" borderId="0" xfId="0" applyFont="1"/>
    <xf numFmtId="164" fontId="11" fillId="9" borderId="0" xfId="0" applyFont="1" applyFill="1"/>
    <xf numFmtId="164" fontId="11" fillId="10" borderId="0" xfId="0" applyFont="1" applyFill="1"/>
    <xf numFmtId="164" fontId="11" fillId="11" borderId="0" xfId="0" applyFont="1" applyFill="1"/>
    <xf numFmtId="182" fontId="7" fillId="9" borderId="18" xfId="1" applyNumberFormat="1" applyFont="1" applyFill="1" applyBorder="1"/>
    <xf numFmtId="182" fontId="10" fillId="9" borderId="18" xfId="1" applyNumberFormat="1" applyFont="1" applyFill="1" applyBorder="1"/>
    <xf numFmtId="178" fontId="0" fillId="0" borderId="0" xfId="0" applyNumberFormat="1"/>
    <xf numFmtId="182" fontId="10" fillId="0" borderId="18" xfId="1" applyNumberFormat="1" applyFont="1" applyFill="1" applyBorder="1"/>
    <xf numFmtId="182" fontId="7" fillId="11" borderId="0" xfId="1" applyNumberFormat="1" applyFont="1" applyFill="1"/>
    <xf numFmtId="182" fontId="7" fillId="0" borderId="0" xfId="1" applyNumberFormat="1" applyFont="1"/>
    <xf numFmtId="182" fontId="7" fillId="0" borderId="18" xfId="1" applyNumberFormat="1" applyFont="1" applyFill="1" applyBorder="1"/>
    <xf numFmtId="182" fontId="7" fillId="11" borderId="18" xfId="1" applyNumberFormat="1" applyFont="1" applyFill="1" applyBorder="1"/>
    <xf numFmtId="1" fontId="1" fillId="12" borderId="8" xfId="0" applyNumberFormat="1" applyFont="1" applyFill="1" applyBorder="1" applyAlignment="1">
      <alignment horizontal="center"/>
    </xf>
    <xf numFmtId="1" fontId="7" fillId="12" borderId="15" xfId="0" applyNumberFormat="1" applyFont="1" applyFill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82" fontId="7" fillId="12" borderId="11" xfId="1" applyNumberFormat="1" applyFont="1" applyFill="1" applyBorder="1"/>
    <xf numFmtId="182" fontId="7" fillId="0" borderId="17" xfId="1" applyNumberFormat="1" applyFont="1" applyBorder="1"/>
    <xf numFmtId="182" fontId="12" fillId="12" borderId="10" xfId="1" applyNumberFormat="1" applyFont="1" applyFill="1" applyBorder="1"/>
    <xf numFmtId="182" fontId="13" fillId="12" borderId="10" xfId="1" applyNumberFormat="1" applyFont="1" applyFill="1" applyBorder="1"/>
    <xf numFmtId="182" fontId="7" fillId="10" borderId="18" xfId="1" applyNumberFormat="1" applyFont="1" applyFill="1" applyBorder="1"/>
    <xf numFmtId="182" fontId="10" fillId="10" borderId="18" xfId="1" applyNumberFormat="1" applyFont="1" applyFill="1" applyBorder="1"/>
    <xf numFmtId="182" fontId="11" fillId="12" borderId="13" xfId="1" applyNumberFormat="1" applyFont="1" applyFill="1" applyBorder="1"/>
    <xf numFmtId="182" fontId="7" fillId="12" borderId="10" xfId="1" applyNumberFormat="1" applyFont="1" applyFill="1" applyBorder="1"/>
    <xf numFmtId="182" fontId="10" fillId="12" borderId="10" xfId="1" applyNumberFormat="1" applyFont="1" applyFill="1" applyBorder="1"/>
    <xf numFmtId="178" fontId="7" fillId="0" borderId="17" xfId="0" applyNumberFormat="1" applyFont="1" applyBorder="1"/>
    <xf numFmtId="178" fontId="7" fillId="15" borderId="18" xfId="100" applyNumberFormat="1" applyFont="1" applyFill="1" applyBorder="1"/>
    <xf numFmtId="178" fontId="14" fillId="0" borderId="18" xfId="100" applyNumberFormat="1" applyFont="1" applyFill="1" applyBorder="1" applyAlignment="1"/>
    <xf numFmtId="1" fontId="0" fillId="14" borderId="4" xfId="0" applyNumberFormat="1" applyFill="1" applyBorder="1"/>
    <xf numFmtId="1" fontId="7" fillId="0" borderId="7" xfId="0" applyNumberFormat="1" applyFont="1" applyBorder="1" applyAlignment="1">
      <alignment horizontal="center"/>
    </xf>
    <xf numFmtId="182" fontId="7" fillId="0" borderId="20" xfId="1" applyNumberFormat="1" applyFont="1" applyBorder="1"/>
    <xf numFmtId="182" fontId="10" fillId="0" borderId="20" xfId="1" applyNumberFormat="1" applyFont="1" applyBorder="1"/>
    <xf numFmtId="182" fontId="11" fillId="0" borderId="21" xfId="1" applyNumberFormat="1" applyFont="1" applyBorder="1"/>
    <xf numFmtId="182" fontId="7" fillId="12" borderId="22" xfId="1" applyNumberFormat="1" applyFont="1" applyFill="1" applyBorder="1"/>
    <xf numFmtId="178" fontId="7" fillId="0" borderId="17" xfId="1" applyNumberFormat="1" applyFont="1" applyBorder="1"/>
    <xf numFmtId="182" fontId="7" fillId="12" borderId="20" xfId="1" applyNumberFormat="1" applyFont="1" applyFill="1" applyBorder="1"/>
    <xf numFmtId="182" fontId="10" fillId="12" borderId="20" xfId="1" applyNumberFormat="1" applyFont="1" applyFill="1" applyBorder="1"/>
    <xf numFmtId="182" fontId="7" fillId="12" borderId="13" xfId="1" applyNumberFormat="1" applyFont="1" applyFill="1" applyBorder="1"/>
    <xf numFmtId="182" fontId="10" fillId="11" borderId="18" xfId="1" applyNumberFormat="1" applyFont="1" applyFill="1" applyBorder="1"/>
    <xf numFmtId="1" fontId="0" fillId="14" borderId="3" xfId="0" applyNumberFormat="1" applyFill="1" applyBorder="1"/>
    <xf numFmtId="0" fontId="16" fillId="0" borderId="0" xfId="176" applyFont="1" applyAlignment="1">
      <alignment horizontal="center"/>
    </xf>
    <xf numFmtId="0" fontId="16" fillId="0" borderId="0" xfId="176" applyFont="1"/>
    <xf numFmtId="0" fontId="17" fillId="0" borderId="0" xfId="176" applyAlignment="1">
      <alignment horizontal="center"/>
    </xf>
    <xf numFmtId="0" fontId="17" fillId="0" borderId="0" xfId="176"/>
    <xf numFmtId="0" fontId="17" fillId="0" borderId="0" xfId="176" applyAlignment="1">
      <alignment horizontal="left"/>
    </xf>
    <xf numFmtId="0" fontId="17" fillId="0" borderId="0" xfId="176" applyAlignment="1">
      <alignment horizontal="right"/>
    </xf>
    <xf numFmtId="178" fontId="17" fillId="0" borderId="0" xfId="111" applyAlignment="1">
      <alignment horizontal="center"/>
    </xf>
    <xf numFmtId="178" fontId="17" fillId="0" borderId="0" xfId="111">
      <alignment horizontal="right"/>
    </xf>
    <xf numFmtId="178" fontId="17" fillId="0" borderId="0" xfId="112">
      <alignment horizontal="right"/>
    </xf>
    <xf numFmtId="2" fontId="17" fillId="0" borderId="0" xfId="110" applyNumberFormat="1">
      <alignment horizontal="right"/>
    </xf>
    <xf numFmtId="0" fontId="18" fillId="0" borderId="23" xfId="174" applyFont="1" applyFill="1" applyBorder="1" applyAlignment="1">
      <alignment horizontal="center" vertical="center" wrapText="1"/>
      <protection locked="0"/>
    </xf>
    <xf numFmtId="0" fontId="16" fillId="4" borderId="24" xfId="175" applyFont="1" applyFill="1" applyBorder="1" applyAlignment="1">
      <alignment horizontal="center" vertical="center" wrapText="1"/>
      <protection locked="0"/>
    </xf>
    <xf numFmtId="0" fontId="18" fillId="16" borderId="24" xfId="177" applyFont="1" applyFill="1" applyBorder="1" applyAlignment="1">
      <alignment horizontal="center" vertical="center" wrapText="1"/>
      <protection locked="0"/>
    </xf>
    <xf numFmtId="0" fontId="18" fillId="17" borderId="24" xfId="177" applyFont="1" applyFill="1" applyBorder="1" applyAlignment="1">
      <alignment horizontal="center" vertical="center" wrapText="1"/>
      <protection locked="0"/>
    </xf>
    <xf numFmtId="49" fontId="18" fillId="18" borderId="24" xfId="178" applyFont="1" applyFill="1" applyBorder="1" applyAlignment="1">
      <alignment horizontal="center" vertical="center" wrapText="1"/>
      <protection locked="0"/>
    </xf>
    <xf numFmtId="0" fontId="18" fillId="19" borderId="24" xfId="179" applyFont="1" applyFill="1" applyBorder="1" applyAlignment="1">
      <alignment horizontal="center" vertical="center" wrapText="1"/>
      <protection locked="0"/>
    </xf>
    <xf numFmtId="0" fontId="18" fillId="0" borderId="24" xfId="170" applyFont="1" applyFill="1" applyBorder="1" applyAlignment="1">
      <alignment horizontal="center" vertical="center" wrapText="1"/>
      <protection locked="0"/>
    </xf>
    <xf numFmtId="0" fontId="163" fillId="0" borderId="1" xfId="161" applyBorder="1"/>
    <xf numFmtId="0" fontId="163" fillId="0" borderId="15" xfId="161" applyBorder="1"/>
    <xf numFmtId="183" fontId="19" fillId="20" borderId="1" xfId="176" applyNumberFormat="1" applyFont="1" applyFill="1" applyBorder="1"/>
    <xf numFmtId="0" fontId="163" fillId="0" borderId="1" xfId="161" applyBorder="1" applyAlignment="1">
      <alignment horizontal="center"/>
    </xf>
    <xf numFmtId="0" fontId="16" fillId="0" borderId="1" xfId="176" applyFont="1" applyBorder="1" applyAlignment="1">
      <alignment horizontal="center"/>
    </xf>
    <xf numFmtId="0" fontId="163" fillId="0" borderId="1" xfId="161" applyBorder="1" applyAlignment="1">
      <alignment horizontal="center" vertical="center"/>
    </xf>
    <xf numFmtId="0" fontId="163" fillId="0" borderId="0" xfId="161"/>
    <xf numFmtId="164" fontId="0" fillId="0" borderId="0" xfId="0" applyAlignment="1">
      <alignment horizontal="left"/>
    </xf>
    <xf numFmtId="0" fontId="11" fillId="0" borderId="0" xfId="157"/>
    <xf numFmtId="0" fontId="18" fillId="21" borderId="24" xfId="170" applyFont="1" applyFill="1" applyBorder="1" applyAlignment="1">
      <alignment horizontal="center" vertical="center" wrapText="1"/>
      <protection locked="0"/>
    </xf>
    <xf numFmtId="1" fontId="18" fillId="22" borderId="24" xfId="171" applyNumberFormat="1" applyFont="1" applyFill="1" applyBorder="1" applyAlignment="1">
      <alignment horizontal="center" vertical="center" wrapText="1"/>
      <protection locked="0"/>
    </xf>
    <xf numFmtId="0" fontId="16" fillId="23" borderId="25" xfId="176" applyFont="1" applyFill="1" applyBorder="1" applyAlignment="1">
      <alignment horizontal="center" vertical="center" wrapText="1"/>
    </xf>
    <xf numFmtId="0" fontId="20" fillId="0" borderId="24" xfId="176" applyFont="1" applyBorder="1" applyAlignment="1">
      <alignment horizontal="center" vertical="center" wrapText="1"/>
    </xf>
    <xf numFmtId="0" fontId="20" fillId="0" borderId="24" xfId="171" applyFont="1" applyFill="1" applyBorder="1" applyAlignment="1">
      <alignment horizontal="center" vertical="center" wrapText="1"/>
      <protection locked="0"/>
    </xf>
    <xf numFmtId="2" fontId="18" fillId="24" borderId="24" xfId="169" applyNumberFormat="1" applyFont="1" applyFill="1" applyBorder="1" applyAlignment="1">
      <alignment horizontal="center" vertical="center" wrapText="1"/>
      <protection locked="0"/>
    </xf>
    <xf numFmtId="0" fontId="16" fillId="25" borderId="24" xfId="176" applyFont="1" applyFill="1" applyBorder="1" applyAlignment="1">
      <alignment horizontal="center" vertical="center" wrapText="1"/>
    </xf>
    <xf numFmtId="1" fontId="16" fillId="0" borderId="1" xfId="111" applyNumberFormat="1" applyFont="1" applyBorder="1" applyAlignment="1">
      <alignment horizontal="center"/>
    </xf>
    <xf numFmtId="39" fontId="21" fillId="26" borderId="1" xfId="107" applyNumberFormat="1" applyBorder="1">
      <alignment horizontal="right"/>
      <protection locked="0"/>
    </xf>
    <xf numFmtId="3" fontId="163" fillId="0" borderId="1" xfId="161" applyNumberFormat="1" applyBorder="1"/>
    <xf numFmtId="178" fontId="17" fillId="0" borderId="1" xfId="111" applyBorder="1">
      <alignment horizontal="right"/>
    </xf>
    <xf numFmtId="178" fontId="17" fillId="0" borderId="1" xfId="112" applyBorder="1">
      <alignment horizontal="right"/>
    </xf>
    <xf numFmtId="22" fontId="17" fillId="0" borderId="0" xfId="176" applyNumberFormat="1"/>
    <xf numFmtId="3" fontId="22" fillId="27" borderId="0" xfId="110" applyNumberFormat="1" applyFont="1" applyFill="1" applyAlignment="1">
      <alignment horizontal="center"/>
    </xf>
    <xf numFmtId="2" fontId="17" fillId="0" borderId="0" xfId="176" applyNumberFormat="1" applyAlignment="1">
      <alignment horizontal="center"/>
    </xf>
    <xf numFmtId="0" fontId="20" fillId="0" borderId="26" xfId="176" applyFont="1" applyBorder="1" applyAlignment="1">
      <alignment horizontal="center" vertical="center" wrapText="1"/>
    </xf>
    <xf numFmtId="2" fontId="16" fillId="0" borderId="1" xfId="176" applyNumberFormat="1" applyFont="1" applyBorder="1" applyAlignment="1">
      <alignment horizontal="center"/>
    </xf>
    <xf numFmtId="0" fontId="16" fillId="12" borderId="0" xfId="176" applyFont="1" applyFill="1"/>
    <xf numFmtId="1" fontId="17" fillId="0" borderId="0" xfId="176" applyNumberFormat="1"/>
    <xf numFmtId="0" fontId="11" fillId="0" borderId="0" xfId="157" applyAlignment="1">
      <alignment horizontal="center"/>
    </xf>
    <xf numFmtId="4" fontId="11" fillId="0" borderId="0" xfId="157" applyNumberFormat="1"/>
    <xf numFmtId="0" fontId="11" fillId="0" borderId="0" xfId="157" applyAlignment="1">
      <alignment horizontal="center" vertical="center" wrapText="1"/>
    </xf>
    <xf numFmtId="0" fontId="16" fillId="28" borderId="0" xfId="157" applyFont="1" applyFill="1" applyAlignment="1">
      <alignment horizontal="center" vertical="center" wrapText="1"/>
    </xf>
    <xf numFmtId="4" fontId="16" fillId="28" borderId="0" xfId="157" applyNumberFormat="1" applyFont="1" applyFill="1" applyAlignment="1">
      <alignment horizontal="center" vertical="center" wrapText="1"/>
    </xf>
    <xf numFmtId="3" fontId="11" fillId="0" borderId="0" xfId="157" applyNumberFormat="1"/>
    <xf numFmtId="0" fontId="11" fillId="0" borderId="0" xfId="157" applyAlignment="1">
      <alignment horizontal="left" vertical="center"/>
    </xf>
    <xf numFmtId="0" fontId="11" fillId="13" borderId="0" xfId="157" applyFill="1"/>
    <xf numFmtId="0" fontId="11" fillId="0" borderId="27" xfId="157" applyBorder="1"/>
    <xf numFmtId="43" fontId="0" fillId="0" borderId="0" xfId="100" applyFont="1"/>
    <xf numFmtId="0" fontId="163" fillId="0" borderId="0" xfId="152"/>
    <xf numFmtId="184" fontId="16" fillId="0" borderId="28" xfId="152" applyNumberFormat="1" applyFont="1" applyBorder="1"/>
    <xf numFmtId="0" fontId="16" fillId="0" borderId="28" xfId="152" applyFont="1" applyBorder="1" applyAlignment="1">
      <alignment horizontal="center"/>
    </xf>
    <xf numFmtId="184" fontId="16" fillId="0" borderId="10" xfId="152" applyNumberFormat="1" applyFont="1" applyBorder="1"/>
    <xf numFmtId="0" fontId="16" fillId="0" borderId="10" xfId="152" applyFont="1" applyBorder="1" applyAlignment="1">
      <alignment horizontal="center"/>
    </xf>
    <xf numFmtId="0" fontId="163" fillId="0" borderId="0" xfId="152" applyAlignment="1">
      <alignment horizontal="left"/>
    </xf>
    <xf numFmtId="0" fontId="163" fillId="0" borderId="0" xfId="152" applyAlignment="1">
      <alignment horizontal="center"/>
    </xf>
    <xf numFmtId="0" fontId="23" fillId="29" borderId="29" xfId="157" applyFont="1" applyFill="1" applyBorder="1" applyAlignment="1">
      <alignment horizontal="center" vertical="center" wrapText="1"/>
    </xf>
    <xf numFmtId="0" fontId="23" fillId="30" borderId="29" xfId="157" applyFont="1" applyFill="1" applyBorder="1" applyAlignment="1">
      <alignment horizontal="center" vertical="center" wrapText="1"/>
    </xf>
    <xf numFmtId="0" fontId="11" fillId="0" borderId="30" xfId="157" applyBorder="1"/>
    <xf numFmtId="185" fontId="11" fillId="0" borderId="30" xfId="157" applyNumberFormat="1" applyBorder="1"/>
    <xf numFmtId="186" fontId="11" fillId="0" borderId="30" xfId="157" applyNumberFormat="1" applyBorder="1"/>
    <xf numFmtId="43" fontId="0" fillId="0" borderId="30" xfId="104" applyFont="1" applyFill="1" applyBorder="1"/>
    <xf numFmtId="43" fontId="11" fillId="0" borderId="30" xfId="104" applyFont="1" applyFill="1" applyBorder="1"/>
    <xf numFmtId="4" fontId="23" fillId="30" borderId="29" xfId="157" applyNumberFormat="1" applyFont="1" applyFill="1" applyBorder="1" applyAlignment="1">
      <alignment horizontal="center" vertical="center" wrapText="1"/>
    </xf>
    <xf numFmtId="3" fontId="11" fillId="0" borderId="30" xfId="157" applyNumberFormat="1" applyBorder="1"/>
    <xf numFmtId="0" fontId="16" fillId="0" borderId="0" xfId="152" applyFont="1" applyAlignment="1">
      <alignment horizontal="center"/>
    </xf>
    <xf numFmtId="0" fontId="17" fillId="0" borderId="0" xfId="152" applyFont="1" applyAlignment="1">
      <alignment horizontal="center"/>
    </xf>
    <xf numFmtId="0" fontId="17" fillId="0" borderId="0" xfId="152" applyFont="1"/>
    <xf numFmtId="0" fontId="24" fillId="0" borderId="0" xfId="152" applyFont="1"/>
    <xf numFmtId="0" fontId="17" fillId="0" borderId="0" xfId="152" applyFont="1" applyAlignment="1">
      <alignment horizontal="center" vertical="center"/>
    </xf>
    <xf numFmtId="2" fontId="17" fillId="0" borderId="0" xfId="152" applyNumberFormat="1" applyFont="1" applyAlignment="1">
      <alignment horizontal="center"/>
    </xf>
    <xf numFmtId="2" fontId="17" fillId="0" borderId="0" xfId="152" applyNumberFormat="1" applyFont="1"/>
    <xf numFmtId="187" fontId="17" fillId="0" borderId="0" xfId="152" applyNumberFormat="1" applyFont="1" applyAlignment="1">
      <alignment horizontal="center" vertical="center"/>
    </xf>
    <xf numFmtId="0" fontId="11" fillId="0" borderId="0" xfId="152" applyFont="1"/>
    <xf numFmtId="0" fontId="25" fillId="0" borderId="22" xfId="152" applyFont="1" applyBorder="1" applyAlignment="1">
      <alignment horizontal="center" vertical="center"/>
    </xf>
    <xf numFmtId="0" fontId="25" fillId="0" borderId="11" xfId="152" applyFont="1" applyBorder="1" applyAlignment="1">
      <alignment horizontal="center" vertical="center"/>
    </xf>
    <xf numFmtId="0" fontId="25" fillId="0" borderId="11" xfId="152" applyFont="1" applyBorder="1" applyAlignment="1">
      <alignment horizontal="center" vertical="center" wrapText="1"/>
    </xf>
    <xf numFmtId="0" fontId="25" fillId="0" borderId="9" xfId="152" applyFont="1" applyBorder="1" applyAlignment="1">
      <alignment horizontal="center" vertical="center"/>
    </xf>
    <xf numFmtId="0" fontId="16" fillId="0" borderId="31" xfId="152" applyFont="1" applyBorder="1" applyAlignment="1">
      <alignment horizontal="center"/>
    </xf>
    <xf numFmtId="0" fontId="16" fillId="0" borderId="32" xfId="152" applyFont="1" applyBorder="1" applyAlignment="1">
      <alignment horizontal="center"/>
    </xf>
    <xf numFmtId="0" fontId="16" fillId="0" borderId="32" xfId="152" applyFont="1" applyBorder="1" applyAlignment="1">
      <alignment horizontal="center" vertical="center"/>
    </xf>
    <xf numFmtId="0" fontId="16" fillId="0" borderId="32" xfId="152" applyFont="1" applyBorder="1" applyAlignment="1">
      <alignment horizontal="left" indent="1"/>
    </xf>
    <xf numFmtId="0" fontId="11" fillId="0" borderId="32" xfId="152" applyFont="1" applyBorder="1" applyAlignment="1">
      <alignment horizontal="left" indent="1"/>
    </xf>
    <xf numFmtId="0" fontId="17" fillId="0" borderId="0" xfId="152" applyFont="1" applyAlignment="1">
      <alignment horizontal="left" indent="1"/>
    </xf>
    <xf numFmtId="0" fontId="24" fillId="0" borderId="0" xfId="152" applyFont="1" applyAlignment="1">
      <alignment horizontal="left" indent="1"/>
    </xf>
    <xf numFmtId="2" fontId="25" fillId="0" borderId="11" xfId="152" applyNumberFormat="1" applyFont="1" applyBorder="1" applyAlignment="1">
      <alignment horizontal="center" vertical="center"/>
    </xf>
    <xf numFmtId="2" fontId="16" fillId="0" borderId="10" xfId="152" applyNumberFormat="1" applyFont="1" applyBorder="1" applyAlignment="1">
      <alignment horizontal="center" wrapText="1"/>
    </xf>
    <xf numFmtId="2" fontId="16" fillId="0" borderId="33" xfId="152" applyNumberFormat="1" applyFont="1" applyBorder="1"/>
    <xf numFmtId="187" fontId="16" fillId="0" borderId="34" xfId="152" applyNumberFormat="1" applyFont="1" applyBorder="1" applyAlignment="1">
      <alignment horizontal="center" vertical="center"/>
    </xf>
    <xf numFmtId="164" fontId="26" fillId="0" borderId="0" xfId="0" applyFont="1"/>
    <xf numFmtId="182" fontId="26" fillId="0" borderId="0" xfId="1" applyNumberFormat="1" applyFont="1"/>
    <xf numFmtId="9" fontId="26" fillId="0" borderId="0" xfId="2" applyFont="1"/>
    <xf numFmtId="165" fontId="26" fillId="0" borderId="0" xfId="1" applyFont="1"/>
    <xf numFmtId="164" fontId="27" fillId="0" borderId="0" xfId="0" applyFont="1" applyAlignment="1">
      <alignment vertical="center"/>
    </xf>
    <xf numFmtId="164" fontId="28" fillId="0" borderId="0" xfId="0" applyFont="1"/>
    <xf numFmtId="165" fontId="0" fillId="0" borderId="0" xfId="1" applyFont="1"/>
    <xf numFmtId="0" fontId="0" fillId="0" borderId="0" xfId="1" applyNumberFormat="1" applyFont="1"/>
    <xf numFmtId="1" fontId="0" fillId="0" borderId="0" xfId="1" applyNumberFormat="1" applyFont="1"/>
    <xf numFmtId="164" fontId="0" fillId="5" borderId="0" xfId="0" applyFill="1"/>
    <xf numFmtId="164" fontId="29" fillId="0" borderId="6" xfId="160" applyFont="1" applyBorder="1"/>
    <xf numFmtId="164" fontId="29" fillId="0" borderId="0" xfId="160" applyFont="1"/>
    <xf numFmtId="164" fontId="30" fillId="5" borderId="0" xfId="0" applyFont="1" applyFill="1"/>
    <xf numFmtId="164" fontId="31" fillId="5" borderId="6" xfId="160" applyFont="1" applyFill="1" applyBorder="1" applyAlignment="1">
      <alignment horizontal="center"/>
    </xf>
    <xf numFmtId="164" fontId="32" fillId="31" borderId="1" xfId="0" applyFont="1" applyFill="1" applyBorder="1" applyAlignment="1">
      <alignment horizontal="center"/>
    </xf>
    <xf numFmtId="164" fontId="32" fillId="32" borderId="1" xfId="0" applyFont="1" applyFill="1" applyBorder="1" applyAlignment="1">
      <alignment horizontal="center"/>
    </xf>
    <xf numFmtId="164" fontId="32" fillId="31" borderId="1" xfId="160" applyFont="1" applyFill="1" applyBorder="1" applyAlignment="1">
      <alignment horizontal="center"/>
    </xf>
    <xf numFmtId="164" fontId="30" fillId="5" borderId="1" xfId="0" applyFont="1" applyFill="1" applyBorder="1" applyAlignment="1">
      <alignment horizontal="center"/>
    </xf>
    <xf numFmtId="182" fontId="30" fillId="5" borderId="1" xfId="1" applyNumberFormat="1" applyFont="1" applyFill="1" applyBorder="1" applyAlignment="1">
      <alignment horizontal="right"/>
    </xf>
    <xf numFmtId="43" fontId="30" fillId="5" borderId="1" xfId="1" applyNumberFormat="1" applyFont="1" applyFill="1" applyBorder="1" applyAlignment="1">
      <alignment horizontal="center"/>
    </xf>
    <xf numFmtId="43" fontId="30" fillId="5" borderId="1" xfId="1" applyNumberFormat="1" applyFont="1" applyFill="1" applyBorder="1"/>
    <xf numFmtId="43" fontId="34" fillId="0" borderId="1" xfId="1" applyNumberFormat="1" applyFont="1" applyFill="1" applyBorder="1"/>
    <xf numFmtId="178" fontId="30" fillId="32" borderId="1" xfId="103" applyNumberFormat="1" applyFont="1" applyFill="1" applyBorder="1"/>
    <xf numFmtId="165" fontId="30" fillId="3" borderId="1" xfId="1" applyFont="1" applyFill="1" applyBorder="1"/>
    <xf numFmtId="164" fontId="30" fillId="5" borderId="1" xfId="0" applyFont="1" applyFill="1" applyBorder="1"/>
    <xf numFmtId="165" fontId="34" fillId="5" borderId="1" xfId="1" applyFont="1" applyFill="1" applyBorder="1"/>
    <xf numFmtId="182" fontId="34" fillId="5" borderId="1" xfId="1" applyNumberFormat="1" applyFont="1" applyFill="1" applyBorder="1"/>
    <xf numFmtId="164" fontId="30" fillId="0" borderId="1" xfId="0" applyFont="1" applyBorder="1" applyAlignment="1">
      <alignment horizontal="center"/>
    </xf>
    <xf numFmtId="188" fontId="30" fillId="3" borderId="1" xfId="0" applyNumberFormat="1" applyFont="1" applyFill="1" applyBorder="1"/>
    <xf numFmtId="178" fontId="30" fillId="5" borderId="1" xfId="103" applyNumberFormat="1" applyFont="1" applyFill="1" applyBorder="1"/>
    <xf numFmtId="182" fontId="30" fillId="5" borderId="1" xfId="1" applyNumberFormat="1" applyFont="1" applyFill="1" applyBorder="1"/>
    <xf numFmtId="164" fontId="33" fillId="5" borderId="2" xfId="0" applyFont="1" applyFill="1" applyBorder="1" applyAlignment="1">
      <alignment horizontal="right"/>
    </xf>
    <xf numFmtId="164" fontId="30" fillId="5" borderId="28" xfId="0" applyFont="1" applyFill="1" applyBorder="1" applyAlignment="1">
      <alignment horizontal="center"/>
    </xf>
    <xf numFmtId="178" fontId="30" fillId="5" borderId="28" xfId="103" applyNumberFormat="1" applyFont="1" applyFill="1" applyBorder="1"/>
    <xf numFmtId="164" fontId="33" fillId="5" borderId="5" xfId="0" applyFont="1" applyFill="1" applyBorder="1" applyAlignment="1">
      <alignment horizontal="left"/>
    </xf>
    <xf numFmtId="164" fontId="30" fillId="5" borderId="15" xfId="0" applyFont="1" applyFill="1" applyBorder="1" applyAlignment="1">
      <alignment horizontal="center"/>
    </xf>
    <xf numFmtId="178" fontId="30" fillId="5" borderId="15" xfId="103" applyNumberFormat="1" applyFont="1" applyFill="1" applyBorder="1"/>
    <xf numFmtId="164" fontId="33" fillId="5" borderId="7" xfId="0" applyFont="1" applyFill="1" applyBorder="1" applyAlignment="1">
      <alignment vertical="center"/>
    </xf>
    <xf numFmtId="164" fontId="30" fillId="33" borderId="1" xfId="0" applyFont="1" applyFill="1" applyBorder="1" applyAlignment="1">
      <alignment horizontal="center"/>
    </xf>
    <xf numFmtId="3" fontId="30" fillId="33" borderId="1" xfId="0" applyNumberFormat="1" applyFont="1" applyFill="1" applyBorder="1" applyAlignment="1">
      <alignment horizontal="right"/>
    </xf>
    <xf numFmtId="165" fontId="30" fillId="33" borderId="1" xfId="1" applyFont="1" applyFill="1" applyBorder="1" applyAlignment="1">
      <alignment horizontal="center"/>
    </xf>
    <xf numFmtId="3" fontId="30" fillId="33" borderId="1" xfId="0" applyNumberFormat="1" applyFont="1" applyFill="1" applyBorder="1" applyAlignment="1">
      <alignment horizontal="center"/>
    </xf>
    <xf numFmtId="165" fontId="0" fillId="5" borderId="0" xfId="1" applyFont="1" applyFill="1" applyAlignment="1">
      <alignment vertical="center"/>
    </xf>
    <xf numFmtId="4" fontId="0" fillId="5" borderId="0" xfId="0" applyNumberFormat="1" applyFill="1" applyAlignment="1">
      <alignment horizontal="center" vertical="center"/>
    </xf>
    <xf numFmtId="2" fontId="0" fillId="5" borderId="0" xfId="0" applyNumberFormat="1" applyFill="1"/>
    <xf numFmtId="10" fontId="0" fillId="5" borderId="0" xfId="1" applyNumberFormat="1" applyFont="1" applyFill="1" applyAlignment="1">
      <alignment vertical="center"/>
    </xf>
    <xf numFmtId="165" fontId="0" fillId="5" borderId="0" xfId="1" applyFont="1" applyFill="1"/>
    <xf numFmtId="164" fontId="0" fillId="5" borderId="0" xfId="0" applyFill="1" applyAlignment="1">
      <alignment horizontal="center"/>
    </xf>
    <xf numFmtId="182" fontId="0" fillId="5" borderId="0" xfId="1" applyNumberFormat="1" applyFont="1" applyFill="1"/>
    <xf numFmtId="182" fontId="30" fillId="3" borderId="1" xfId="1" applyNumberFormat="1" applyFont="1" applyFill="1" applyBorder="1"/>
    <xf numFmtId="182" fontId="35" fillId="5" borderId="1" xfId="1" applyNumberFormat="1" applyFont="1" applyFill="1" applyBorder="1"/>
    <xf numFmtId="178" fontId="35" fillId="5" borderId="1" xfId="0" applyNumberFormat="1" applyFont="1" applyFill="1" applyBorder="1"/>
    <xf numFmtId="178" fontId="34" fillId="5" borderId="1" xfId="0" applyNumberFormat="1" applyFont="1" applyFill="1" applyBorder="1"/>
    <xf numFmtId="14" fontId="36" fillId="5" borderId="0" xfId="0" applyNumberFormat="1" applyFont="1" applyFill="1"/>
    <xf numFmtId="9" fontId="0" fillId="5" borderId="0" xfId="2" applyFont="1" applyFill="1"/>
    <xf numFmtId="164" fontId="26" fillId="5" borderId="0" xfId="0" applyFont="1" applyFill="1"/>
    <xf numFmtId="165" fontId="26" fillId="5" borderId="0" xfId="1" applyFont="1" applyFill="1"/>
    <xf numFmtId="189" fontId="0" fillId="5" borderId="0" xfId="1" applyNumberFormat="1" applyFont="1" applyFill="1"/>
    <xf numFmtId="178" fontId="37" fillId="5" borderId="0" xfId="1" applyNumberFormat="1" applyFont="1" applyFill="1" applyAlignment="1">
      <alignment horizontal="center"/>
    </xf>
    <xf numFmtId="178" fontId="32" fillId="31" borderId="1" xfId="1" applyNumberFormat="1" applyFont="1" applyFill="1" applyBorder="1" applyAlignment="1">
      <alignment horizontal="center"/>
    </xf>
    <xf numFmtId="4" fontId="0" fillId="5" borderId="0" xfId="0" applyNumberFormat="1" applyFill="1"/>
    <xf numFmtId="178" fontId="30" fillId="5" borderId="1" xfId="1" applyNumberFormat="1" applyFont="1" applyFill="1" applyBorder="1" applyAlignment="1">
      <alignment horizontal="right"/>
    </xf>
    <xf numFmtId="178" fontId="30" fillId="0" borderId="1" xfId="1" applyNumberFormat="1" applyFont="1" applyBorder="1"/>
    <xf numFmtId="178" fontId="30" fillId="5" borderId="1" xfId="1" applyNumberFormat="1" applyFont="1" applyFill="1" applyBorder="1"/>
    <xf numFmtId="178" fontId="30" fillId="5" borderId="8" xfId="1" applyNumberFormat="1" applyFont="1" applyFill="1" applyBorder="1"/>
    <xf numFmtId="178" fontId="30" fillId="5" borderId="13" xfId="1" applyNumberFormat="1" applyFont="1" applyFill="1" applyBorder="1"/>
    <xf numFmtId="178" fontId="30" fillId="5" borderId="8" xfId="103" applyNumberFormat="1" applyFont="1" applyFill="1" applyBorder="1"/>
    <xf numFmtId="178" fontId="30" fillId="5" borderId="13" xfId="103" applyNumberFormat="1" applyFont="1" applyFill="1" applyBorder="1"/>
    <xf numFmtId="178" fontId="38" fillId="5" borderId="1" xfId="1" applyNumberFormat="1" applyFont="1" applyFill="1" applyBorder="1"/>
    <xf numFmtId="164" fontId="23" fillId="34" borderId="42" xfId="0" applyFont="1" applyFill="1" applyBorder="1" applyAlignment="1">
      <alignment horizontal="center" vertical="center"/>
    </xf>
    <xf numFmtId="164" fontId="23" fillId="34" borderId="42" xfId="0" applyFont="1" applyFill="1" applyBorder="1" applyAlignment="1">
      <alignment horizontal="center"/>
    </xf>
    <xf numFmtId="164" fontId="23" fillId="34" borderId="43" xfId="0" applyFont="1" applyFill="1" applyBorder="1" applyAlignment="1">
      <alignment horizontal="center"/>
    </xf>
    <xf numFmtId="164" fontId="0" fillId="0" borderId="15" xfId="0" applyBorder="1" applyAlignment="1">
      <alignment horizontal="center" vertical="center"/>
    </xf>
    <xf numFmtId="182" fontId="0" fillId="0" borderId="15" xfId="97" applyNumberFormat="1" applyFont="1" applyBorder="1"/>
    <xf numFmtId="165" fontId="26" fillId="0" borderId="1" xfId="97" applyFont="1" applyBorder="1"/>
    <xf numFmtId="182" fontId="26" fillId="0" borderId="1" xfId="97" applyNumberFormat="1" applyFont="1" applyBorder="1"/>
    <xf numFmtId="164" fontId="0" fillId="0" borderId="1" xfId="0" applyBorder="1" applyAlignment="1">
      <alignment horizontal="center" vertical="center"/>
    </xf>
    <xf numFmtId="182" fontId="0" fillId="0" borderId="1" xfId="97" applyNumberFormat="1" applyFont="1" applyBorder="1" applyAlignment="1">
      <alignment horizontal="right"/>
    </xf>
    <xf numFmtId="165" fontId="0" fillId="0" borderId="1" xfId="97" applyFont="1" applyBorder="1"/>
    <xf numFmtId="182" fontId="0" fillId="0" borderId="1" xfId="97" applyNumberFormat="1" applyFont="1" applyBorder="1"/>
    <xf numFmtId="190" fontId="0" fillId="0" borderId="1" xfId="97" applyNumberFormat="1" applyFont="1" applyBorder="1"/>
    <xf numFmtId="165" fontId="0" fillId="0" borderId="1" xfId="97" applyFont="1" applyFill="1" applyBorder="1"/>
    <xf numFmtId="182" fontId="0" fillId="0" borderId="1" xfId="97" applyNumberFormat="1" applyFont="1" applyFill="1" applyBorder="1"/>
    <xf numFmtId="164" fontId="23" fillId="34" borderId="44" xfId="0" applyFont="1" applyFill="1" applyBorder="1" applyAlignment="1">
      <alignment horizontal="center" vertical="center"/>
    </xf>
    <xf numFmtId="165" fontId="23" fillId="34" borderId="44" xfId="1" applyFont="1" applyFill="1" applyBorder="1" applyAlignment="1">
      <alignment vertical="center"/>
    </xf>
    <xf numFmtId="165" fontId="0" fillId="0" borderId="0" xfId="1" applyFont="1" applyFill="1" applyBorder="1"/>
    <xf numFmtId="165" fontId="36" fillId="0" borderId="0" xfId="1" applyFont="1"/>
    <xf numFmtId="182" fontId="0" fillId="0" borderId="0" xfId="1" applyNumberFormat="1" applyFont="1" applyFill="1" applyBorder="1"/>
    <xf numFmtId="164" fontId="23" fillId="0" borderId="0" xfId="0" applyFont="1" applyAlignment="1">
      <alignment horizontal="center" vertical="center"/>
    </xf>
    <xf numFmtId="165" fontId="23" fillId="0" borderId="0" xfId="1" applyFont="1" applyFill="1" applyBorder="1" applyAlignment="1">
      <alignment vertical="center"/>
    </xf>
    <xf numFmtId="164" fontId="0" fillId="0" borderId="1" xfId="0" applyBorder="1"/>
    <xf numFmtId="165" fontId="0" fillId="0" borderId="7" xfId="97" applyFont="1" applyBorder="1"/>
    <xf numFmtId="164" fontId="23" fillId="34" borderId="0" xfId="0" applyFont="1" applyFill="1" applyAlignment="1">
      <alignment horizontal="center" vertical="center"/>
    </xf>
    <xf numFmtId="165" fontId="23" fillId="34" borderId="0" xfId="1" applyFont="1" applyFill="1" applyAlignment="1">
      <alignment vertical="center"/>
    </xf>
    <xf numFmtId="165" fontId="40" fillId="0" borderId="0" xfId="1" applyFont="1"/>
    <xf numFmtId="182" fontId="23" fillId="34" borderId="44" xfId="1" applyNumberFormat="1" applyFont="1" applyFill="1" applyBorder="1" applyAlignment="1">
      <alignment vertical="center"/>
    </xf>
    <xf numFmtId="164" fontId="41" fillId="0" borderId="0" xfId="0" applyFont="1"/>
    <xf numFmtId="164" fontId="41" fillId="35" borderId="0" xfId="0" applyFont="1" applyFill="1"/>
    <xf numFmtId="182" fontId="41" fillId="35" borderId="0" xfId="1" applyNumberFormat="1" applyFont="1" applyFill="1"/>
    <xf numFmtId="178" fontId="41" fillId="35" borderId="0" xfId="1" applyNumberFormat="1" applyFont="1" applyFill="1"/>
    <xf numFmtId="164" fontId="36" fillId="0" borderId="0" xfId="0" applyFont="1"/>
    <xf numFmtId="182" fontId="0" fillId="0" borderId="0" xfId="1" applyNumberFormat="1" applyFont="1"/>
    <xf numFmtId="182" fontId="41" fillId="0" borderId="0" xfId="1" applyNumberFormat="1" applyFont="1" applyFill="1"/>
    <xf numFmtId="182" fontId="0" fillId="24" borderId="0" xfId="1" applyNumberFormat="1" applyFont="1" applyFill="1"/>
    <xf numFmtId="164" fontId="42" fillId="12" borderId="0" xfId="0" applyFont="1" applyFill="1"/>
    <xf numFmtId="1" fontId="23" fillId="34" borderId="0" xfId="0" applyNumberFormat="1" applyFont="1" applyFill="1" applyAlignment="1">
      <alignment horizontal="center"/>
    </xf>
    <xf numFmtId="182" fontId="0" fillId="0" borderId="1" xfId="1" applyNumberFormat="1" applyFont="1" applyBorder="1"/>
    <xf numFmtId="1" fontId="0" fillId="0" borderId="1" xfId="1" applyNumberFormat="1" applyFont="1" applyBorder="1" applyAlignment="1">
      <alignment horizontal="center"/>
    </xf>
    <xf numFmtId="165" fontId="0" fillId="0" borderId="1" xfId="1" applyFont="1" applyBorder="1"/>
    <xf numFmtId="182" fontId="43" fillId="0" borderId="1" xfId="1" applyNumberFormat="1" applyFont="1" applyFill="1" applyBorder="1"/>
    <xf numFmtId="164" fontId="17" fillId="5" borderId="0" xfId="162" applyFill="1"/>
    <xf numFmtId="164" fontId="17" fillId="5" borderId="0" xfId="162" applyFill="1" applyProtection="1">
      <protection locked="0"/>
    </xf>
    <xf numFmtId="164" fontId="3" fillId="31" borderId="1" xfId="162" applyFont="1" applyFill="1" applyBorder="1" applyAlignment="1">
      <alignment horizontal="center" wrapText="1"/>
    </xf>
    <xf numFmtId="164" fontId="3" fillId="31" borderId="1" xfId="162" applyFont="1" applyFill="1" applyBorder="1" applyAlignment="1">
      <alignment horizontal="center" vertical="center" wrapText="1"/>
    </xf>
    <xf numFmtId="0" fontId="17" fillId="5" borderId="0" xfId="162" applyNumberFormat="1" applyFill="1"/>
    <xf numFmtId="164" fontId="44" fillId="36" borderId="1" xfId="162" applyFont="1" applyFill="1" applyBorder="1" applyAlignment="1">
      <alignment horizontal="center" vertical="center"/>
    </xf>
    <xf numFmtId="182" fontId="17" fillId="31" borderId="1" xfId="1" applyNumberFormat="1" applyFont="1" applyFill="1" applyBorder="1" applyAlignment="1" applyProtection="1">
      <alignment horizontal="center"/>
      <protection locked="0"/>
    </xf>
    <xf numFmtId="1" fontId="17" fillId="37" borderId="1" xfId="162" applyNumberFormat="1" applyFill="1" applyBorder="1" applyAlignment="1">
      <alignment horizontal="center"/>
    </xf>
    <xf numFmtId="1" fontId="45" fillId="25" borderId="0" xfId="1" applyNumberFormat="1" applyFont="1" applyFill="1" applyAlignment="1">
      <alignment horizontal="center" vertical="center"/>
    </xf>
    <xf numFmtId="164" fontId="46" fillId="0" borderId="0" xfId="162" applyFont="1"/>
    <xf numFmtId="1" fontId="46" fillId="0" borderId="0" xfId="162" applyNumberFormat="1" applyFont="1"/>
    <xf numFmtId="182" fontId="46" fillId="0" borderId="50" xfId="97" applyNumberFormat="1" applyFont="1" applyFill="1" applyBorder="1"/>
    <xf numFmtId="164" fontId="46" fillId="0" borderId="51" xfId="162" applyFont="1" applyBorder="1"/>
    <xf numFmtId="182" fontId="46" fillId="0" borderId="52" xfId="1" applyNumberFormat="1" applyFont="1" applyFill="1" applyBorder="1"/>
    <xf numFmtId="164" fontId="46" fillId="0" borderId="53" xfId="162" applyFont="1" applyBorder="1"/>
    <xf numFmtId="164" fontId="46" fillId="0" borderId="50" xfId="162" applyFont="1" applyBorder="1"/>
    <xf numFmtId="164" fontId="47" fillId="0" borderId="50" xfId="162" applyFont="1" applyBorder="1" applyAlignment="1">
      <alignment horizontal="center" wrapText="1"/>
    </xf>
    <xf numFmtId="164" fontId="47" fillId="0" borderId="50" xfId="162" applyFont="1" applyBorder="1" applyAlignment="1">
      <alignment horizontal="center" vertical="center" wrapText="1"/>
    </xf>
    <xf numFmtId="164" fontId="46" fillId="5" borderId="54" xfId="162" applyFont="1" applyFill="1" applyBorder="1"/>
    <xf numFmtId="164" fontId="46" fillId="5" borderId="55" xfId="162" applyFont="1" applyFill="1" applyBorder="1"/>
    <xf numFmtId="164" fontId="46" fillId="5" borderId="0" xfId="162" applyFont="1" applyFill="1"/>
    <xf numFmtId="164" fontId="3" fillId="38" borderId="1" xfId="162" applyFont="1" applyFill="1" applyBorder="1" applyAlignment="1">
      <alignment horizontal="center" vertical="center" wrapText="1"/>
    </xf>
    <xf numFmtId="182" fontId="17" fillId="8" borderId="1" xfId="1" applyNumberFormat="1" applyFont="1" applyFill="1" applyBorder="1" applyAlignment="1" applyProtection="1">
      <alignment horizontal="center"/>
      <protection locked="0"/>
    </xf>
    <xf numFmtId="182" fontId="46" fillId="0" borderId="56" xfId="1" applyNumberFormat="1" applyFont="1" applyFill="1" applyBorder="1"/>
    <xf numFmtId="182" fontId="46" fillId="0" borderId="0" xfId="1" applyNumberFormat="1" applyFont="1" applyFill="1"/>
    <xf numFmtId="164" fontId="46" fillId="0" borderId="57" xfId="162" applyFont="1" applyBorder="1"/>
    <xf numFmtId="164" fontId="48" fillId="5" borderId="0" xfId="162" applyFont="1" applyFill="1"/>
    <xf numFmtId="43" fontId="17" fillId="5" borderId="0" xfId="162" applyNumberFormat="1" applyFill="1"/>
    <xf numFmtId="9" fontId="17" fillId="5" borderId="0" xfId="2" applyFont="1" applyFill="1"/>
    <xf numFmtId="41" fontId="17" fillId="5" borderId="0" xfId="162" applyNumberFormat="1" applyFill="1"/>
    <xf numFmtId="182" fontId="17" fillId="5" borderId="0" xfId="1" applyNumberFormat="1" applyFont="1" applyFill="1"/>
    <xf numFmtId="164" fontId="49" fillId="0" borderId="6" xfId="160" applyFont="1" applyBorder="1"/>
    <xf numFmtId="164" fontId="30" fillId="5" borderId="0" xfId="0" applyFont="1" applyFill="1" applyAlignment="1">
      <alignment horizontal="center"/>
    </xf>
    <xf numFmtId="164" fontId="50" fillId="31" borderId="1" xfId="0" applyFont="1" applyFill="1" applyBorder="1"/>
    <xf numFmtId="164" fontId="51" fillId="31" borderId="1" xfId="0" applyFont="1" applyFill="1" applyBorder="1" applyAlignment="1">
      <alignment horizontal="center"/>
    </xf>
    <xf numFmtId="164" fontId="51" fillId="31" borderId="1" xfId="160" applyFont="1" applyFill="1" applyBorder="1" applyAlignment="1">
      <alignment horizontal="center"/>
    </xf>
    <xf numFmtId="164" fontId="52" fillId="5" borderId="1" xfId="0" applyFont="1" applyFill="1" applyBorder="1" applyAlignment="1">
      <alignment horizontal="left"/>
    </xf>
    <xf numFmtId="164" fontId="50" fillId="5" borderId="1" xfId="0" applyFont="1" applyFill="1" applyBorder="1" applyAlignment="1">
      <alignment horizontal="center"/>
    </xf>
    <xf numFmtId="3" fontId="50" fillId="5" borderId="1" xfId="0" applyNumberFormat="1" applyFont="1" applyFill="1" applyBorder="1" applyAlignment="1">
      <alignment horizontal="right"/>
    </xf>
    <xf numFmtId="43" fontId="50" fillId="5" borderId="1" xfId="1" applyNumberFormat="1" applyFont="1" applyFill="1" applyBorder="1" applyAlignment="1">
      <alignment horizontal="center"/>
    </xf>
    <xf numFmtId="43" fontId="50" fillId="5" borderId="1" xfId="1" applyNumberFormat="1" applyFont="1" applyFill="1" applyBorder="1"/>
    <xf numFmtId="43" fontId="53" fillId="0" borderId="1" xfId="1" applyNumberFormat="1" applyFont="1" applyFill="1" applyBorder="1"/>
    <xf numFmtId="178" fontId="50" fillId="32" borderId="1" xfId="103" applyNumberFormat="1" applyFont="1" applyFill="1" applyBorder="1"/>
    <xf numFmtId="188" fontId="50" fillId="3" borderId="1" xfId="0" applyNumberFormat="1" applyFont="1" applyFill="1" applyBorder="1"/>
    <xf numFmtId="178" fontId="50" fillId="0" borderId="1" xfId="103" applyNumberFormat="1" applyFont="1" applyFill="1" applyBorder="1"/>
    <xf numFmtId="178" fontId="53" fillId="5" borderId="1" xfId="0" applyNumberFormat="1" applyFont="1" applyFill="1" applyBorder="1"/>
    <xf numFmtId="164" fontId="52" fillId="0" borderId="1" xfId="0" applyFont="1" applyBorder="1" applyAlignment="1">
      <alignment horizontal="left"/>
    </xf>
    <xf numFmtId="164" fontId="50" fillId="0" borderId="1" xfId="0" applyFont="1" applyBorder="1" applyAlignment="1">
      <alignment horizontal="center"/>
    </xf>
    <xf numFmtId="178" fontId="50" fillId="5" borderId="1" xfId="103" applyNumberFormat="1" applyFont="1" applyFill="1" applyBorder="1"/>
    <xf numFmtId="164" fontId="54" fillId="5" borderId="0" xfId="0" applyFont="1" applyFill="1"/>
    <xf numFmtId="182" fontId="26" fillId="5" borderId="0" xfId="1" applyNumberFormat="1" applyFont="1" applyFill="1"/>
    <xf numFmtId="165" fontId="36" fillId="5" borderId="0" xfId="1" applyFont="1" applyFill="1"/>
    <xf numFmtId="164" fontId="30" fillId="40" borderId="6" xfId="164" applyFont="1" applyFill="1" applyBorder="1"/>
    <xf numFmtId="164" fontId="32" fillId="39" borderId="36" xfId="164" applyFont="1" applyFill="1" applyBorder="1" applyAlignment="1">
      <alignment vertical="center"/>
    </xf>
    <xf numFmtId="164" fontId="32" fillId="39" borderId="1" xfId="164" applyFont="1" applyFill="1" applyBorder="1" applyAlignment="1">
      <alignment horizontal="right" vertical="center"/>
    </xf>
    <xf numFmtId="1" fontId="32" fillId="39" borderId="35" xfId="164" applyNumberFormat="1" applyFont="1" applyFill="1" applyBorder="1" applyAlignment="1">
      <alignment horizontal="center"/>
    </xf>
    <xf numFmtId="178" fontId="55" fillId="0" borderId="1" xfId="106" applyNumberFormat="1" applyFont="1" applyFill="1" applyBorder="1" applyAlignment="1">
      <alignment horizontal="right" vertical="center" indent="1"/>
    </xf>
    <xf numFmtId="164" fontId="50" fillId="40" borderId="35" xfId="164" applyFont="1" applyFill="1" applyBorder="1" applyAlignment="1">
      <alignment horizontal="center" vertical="center"/>
    </xf>
    <xf numFmtId="178" fontId="50" fillId="40" borderId="1" xfId="106" applyNumberFormat="1" applyFont="1" applyFill="1" applyBorder="1" applyAlignment="1">
      <alignment horizontal="right" vertical="center" indent="1"/>
    </xf>
    <xf numFmtId="164" fontId="50" fillId="40" borderId="35" xfId="164" applyFont="1" applyFill="1" applyBorder="1" applyAlignment="1">
      <alignment horizontal="center"/>
    </xf>
    <xf numFmtId="178" fontId="50" fillId="40" borderId="1" xfId="106" applyNumberFormat="1" applyFont="1" applyFill="1" applyBorder="1"/>
    <xf numFmtId="178" fontId="51" fillId="31" borderId="1" xfId="1" applyNumberFormat="1" applyFont="1" applyFill="1" applyBorder="1" applyAlignment="1">
      <alignment horizontal="center"/>
    </xf>
    <xf numFmtId="178" fontId="50" fillId="5" borderId="1" xfId="1" applyNumberFormat="1" applyFont="1" applyFill="1" applyBorder="1" applyAlignment="1">
      <alignment horizontal="right"/>
    </xf>
    <xf numFmtId="178" fontId="50" fillId="0" borderId="1" xfId="1" applyNumberFormat="1" applyFont="1" applyBorder="1"/>
    <xf numFmtId="178" fontId="50" fillId="5" borderId="1" xfId="1" applyNumberFormat="1" applyFont="1" applyFill="1" applyBorder="1"/>
    <xf numFmtId="178" fontId="50" fillId="0" borderId="1" xfId="1" applyNumberFormat="1" applyFont="1" applyFill="1" applyBorder="1"/>
    <xf numFmtId="165" fontId="50" fillId="5" borderId="1" xfId="1" applyFont="1" applyFill="1" applyBorder="1" applyAlignment="1">
      <alignment horizontal="right"/>
    </xf>
    <xf numFmtId="178" fontId="55" fillId="4" borderId="1" xfId="106" applyNumberFormat="1" applyFont="1" applyFill="1" applyBorder="1"/>
    <xf numFmtId="178" fontId="55" fillId="40" borderId="1" xfId="106" applyNumberFormat="1" applyFont="1" applyFill="1" applyBorder="1"/>
    <xf numFmtId="164" fontId="1" fillId="5" borderId="0" xfId="0" applyFont="1" applyFill="1"/>
    <xf numFmtId="191" fontId="56" fillId="0" borderId="0" xfId="160" applyNumberFormat="1" applyFont="1"/>
    <xf numFmtId="164" fontId="57" fillId="5" borderId="6" xfId="0" applyFont="1" applyFill="1" applyBorder="1" applyAlignment="1">
      <alignment horizontal="center"/>
    </xf>
    <xf numFmtId="164" fontId="57" fillId="5" borderId="7" xfId="0" applyFont="1" applyFill="1" applyBorder="1" applyAlignment="1">
      <alignment horizontal="center"/>
    </xf>
    <xf numFmtId="1" fontId="57" fillId="41" borderId="1" xfId="0" applyNumberFormat="1" applyFont="1" applyFill="1" applyBorder="1" applyAlignment="1">
      <alignment horizontal="center"/>
    </xf>
    <xf numFmtId="164" fontId="54" fillId="31" borderId="1" xfId="0" applyFont="1" applyFill="1" applyBorder="1" applyAlignment="1">
      <alignment horizontal="center"/>
    </xf>
    <xf numFmtId="164" fontId="58" fillId="5" borderId="8" xfId="0" applyFont="1" applyFill="1" applyBorder="1" applyAlignment="1">
      <alignment horizontal="center" vertical="center" wrapText="1"/>
    </xf>
    <xf numFmtId="164" fontId="59" fillId="5" borderId="28" xfId="0" applyFont="1" applyFill="1" applyBorder="1"/>
    <xf numFmtId="182" fontId="60" fillId="5" borderId="10" xfId="1" applyNumberFormat="1" applyFont="1" applyFill="1" applyBorder="1" applyAlignment="1">
      <alignment horizontal="center"/>
    </xf>
    <xf numFmtId="164" fontId="58" fillId="5" borderId="9" xfId="0" applyFont="1" applyFill="1" applyBorder="1" applyAlignment="1">
      <alignment horizontal="center" vertical="center" wrapText="1"/>
    </xf>
    <xf numFmtId="164" fontId="59" fillId="5" borderId="12" xfId="0" applyFont="1" applyFill="1" applyBorder="1"/>
    <xf numFmtId="164" fontId="59" fillId="5" borderId="10" xfId="0" applyFont="1" applyFill="1" applyBorder="1"/>
    <xf numFmtId="164" fontId="59" fillId="42" borderId="9" xfId="0" applyFont="1" applyFill="1" applyBorder="1"/>
    <xf numFmtId="182" fontId="60" fillId="42" borderId="13" xfId="1" applyNumberFormat="1" applyFont="1" applyFill="1" applyBorder="1" applyAlignment="1">
      <alignment horizontal="center"/>
    </xf>
    <xf numFmtId="182" fontId="60" fillId="5" borderId="11" xfId="1" applyNumberFormat="1" applyFont="1" applyFill="1" applyBorder="1" applyAlignment="1">
      <alignment horizontal="center"/>
    </xf>
    <xf numFmtId="182" fontId="60" fillId="42" borderId="9" xfId="1" applyNumberFormat="1" applyFont="1" applyFill="1" applyBorder="1" applyAlignment="1">
      <alignment horizontal="center"/>
    </xf>
    <xf numFmtId="182" fontId="60" fillId="5" borderId="9" xfId="1" applyNumberFormat="1" applyFont="1" applyFill="1" applyBorder="1" applyAlignment="1">
      <alignment horizontal="center"/>
    </xf>
    <xf numFmtId="182" fontId="60" fillId="5" borderId="12" xfId="1" applyNumberFormat="1" applyFont="1" applyFill="1" applyBorder="1" applyAlignment="1">
      <alignment horizontal="center"/>
    </xf>
    <xf numFmtId="0" fontId="0" fillId="5" borderId="0" xfId="0" applyNumberFormat="1" applyFill="1"/>
    <xf numFmtId="41" fontId="60" fillId="5" borderId="10" xfId="3" applyFont="1" applyFill="1" applyBorder="1" applyAlignment="1">
      <alignment horizontal="center"/>
    </xf>
    <xf numFmtId="164" fontId="58" fillId="5" borderId="59" xfId="0" applyFont="1" applyFill="1" applyBorder="1" applyAlignment="1">
      <alignment horizontal="center" vertical="center" wrapText="1"/>
    </xf>
    <xf numFmtId="164" fontId="58" fillId="5" borderId="60" xfId="0" applyFont="1" applyFill="1" applyBorder="1" applyAlignment="1">
      <alignment horizontal="center" vertical="center" wrapText="1"/>
    </xf>
    <xf numFmtId="164" fontId="59" fillId="42" borderId="15" xfId="0" applyFont="1" applyFill="1" applyBorder="1"/>
    <xf numFmtId="182" fontId="60" fillId="42" borderId="15" xfId="1" applyNumberFormat="1" applyFont="1" applyFill="1" applyBorder="1" applyAlignment="1">
      <alignment horizontal="center"/>
    </xf>
    <xf numFmtId="164" fontId="59" fillId="5" borderId="11" xfId="0" applyFont="1" applyFill="1" applyBorder="1"/>
    <xf numFmtId="41" fontId="60" fillId="5" borderId="10" xfId="3" applyFont="1" applyFill="1" applyBorder="1" applyAlignment="1">
      <alignment horizontal="center" vertical="center"/>
    </xf>
    <xf numFmtId="164" fontId="0" fillId="5" borderId="9" xfId="0" applyFill="1" applyBorder="1" applyAlignment="1">
      <alignment vertical="center"/>
    </xf>
    <xf numFmtId="164" fontId="59" fillId="5" borderId="61" xfId="0" applyFont="1" applyFill="1" applyBorder="1"/>
    <xf numFmtId="182" fontId="0" fillId="43" borderId="28" xfId="0" applyNumberFormat="1" applyFill="1" applyBorder="1" applyAlignment="1">
      <alignment horizontal="center"/>
    </xf>
    <xf numFmtId="164" fontId="59" fillId="5" borderId="62" xfId="0" applyFont="1" applyFill="1" applyBorder="1"/>
    <xf numFmtId="182" fontId="0" fillId="43" borderId="12" xfId="0" applyNumberFormat="1" applyFill="1" applyBorder="1" applyAlignment="1">
      <alignment horizontal="center"/>
    </xf>
    <xf numFmtId="164" fontId="59" fillId="5" borderId="21" xfId="0" applyFont="1" applyFill="1" applyBorder="1"/>
    <xf numFmtId="164" fontId="59" fillId="44" borderId="1" xfId="0" applyFont="1" applyFill="1" applyBorder="1"/>
    <xf numFmtId="182" fontId="1" fillId="45" borderId="1" xfId="0" applyNumberFormat="1" applyFont="1" applyFill="1" applyBorder="1" applyAlignment="1">
      <alignment horizontal="center"/>
    </xf>
    <xf numFmtId="164" fontId="56" fillId="0" borderId="0" xfId="160" applyFont="1"/>
    <xf numFmtId="164" fontId="63" fillId="5" borderId="8" xfId="0" applyFont="1" applyFill="1" applyBorder="1" applyAlignment="1">
      <alignment horizontal="center" vertical="center"/>
    </xf>
    <xf numFmtId="43" fontId="60" fillId="5" borderId="28" xfId="1" applyNumberFormat="1" applyFont="1" applyFill="1" applyBorder="1"/>
    <xf numFmtId="164" fontId="63" fillId="5" borderId="9" xfId="0" applyFont="1" applyFill="1" applyBorder="1" applyAlignment="1">
      <alignment horizontal="center" vertical="center"/>
    </xf>
    <xf numFmtId="43" fontId="0" fillId="5" borderId="10" xfId="0" applyNumberFormat="1" applyFill="1" applyBorder="1"/>
    <xf numFmtId="43" fontId="0" fillId="5" borderId="12" xfId="0" applyNumberFormat="1" applyFill="1" applyBorder="1"/>
    <xf numFmtId="164" fontId="63" fillId="5" borderId="15" xfId="0" applyFont="1" applyFill="1" applyBorder="1" applyAlignment="1">
      <alignment horizontal="center" vertical="center"/>
    </xf>
    <xf numFmtId="164" fontId="59" fillId="42" borderId="1" xfId="0" applyFont="1" applyFill="1" applyBorder="1"/>
    <xf numFmtId="189" fontId="60" fillId="42" borderId="1" xfId="1" applyNumberFormat="1" applyFont="1" applyFill="1" applyBorder="1" applyAlignment="1">
      <alignment horizontal="center"/>
    </xf>
    <xf numFmtId="43" fontId="0" fillId="5" borderId="28" xfId="0" applyNumberFormat="1" applyFill="1" applyBorder="1"/>
    <xf numFmtId="189" fontId="60" fillId="42" borderId="15" xfId="1" applyNumberFormat="1" applyFont="1" applyFill="1" applyBorder="1" applyAlignment="1">
      <alignment horizontal="center"/>
    </xf>
    <xf numFmtId="164" fontId="41" fillId="5" borderId="0" xfId="0" applyFont="1" applyFill="1"/>
    <xf numFmtId="189" fontId="60" fillId="5" borderId="0" xfId="1" applyNumberFormat="1" applyFont="1" applyFill="1" applyBorder="1" applyAlignment="1">
      <alignment horizontal="center"/>
    </xf>
    <xf numFmtId="182" fontId="64" fillId="5" borderId="10" xfId="1" applyNumberFormat="1" applyFont="1" applyFill="1" applyBorder="1" applyAlignment="1">
      <alignment horizontal="center"/>
    </xf>
    <xf numFmtId="182" fontId="64" fillId="42" borderId="13" xfId="1" applyNumberFormat="1" applyFont="1" applyFill="1" applyBorder="1" applyAlignment="1">
      <alignment horizontal="center"/>
    </xf>
    <xf numFmtId="182" fontId="64" fillId="42" borderId="9" xfId="1" applyNumberFormat="1" applyFont="1" applyFill="1" applyBorder="1" applyAlignment="1">
      <alignment horizontal="center"/>
    </xf>
    <xf numFmtId="182" fontId="64" fillId="42" borderId="15" xfId="1" applyNumberFormat="1" applyFont="1" applyFill="1" applyBorder="1" applyAlignment="1">
      <alignment horizontal="center"/>
    </xf>
    <xf numFmtId="164" fontId="58" fillId="46" borderId="1" xfId="0" applyFont="1" applyFill="1" applyBorder="1" applyAlignment="1">
      <alignment horizontal="center"/>
    </xf>
    <xf numFmtId="164" fontId="0" fillId="5" borderId="1" xfId="0" applyFill="1" applyBorder="1" applyAlignment="1">
      <alignment horizontal="center" vertical="center"/>
    </xf>
    <xf numFmtId="41" fontId="0" fillId="46" borderId="28" xfId="0" applyNumberFormat="1" applyFill="1" applyBorder="1" applyAlignment="1">
      <alignment horizontal="center"/>
    </xf>
    <xf numFmtId="165" fontId="60" fillId="5" borderId="1" xfId="1" applyFont="1" applyFill="1" applyBorder="1"/>
    <xf numFmtId="41" fontId="0" fillId="46" borderId="10" xfId="0" applyNumberFormat="1" applyFill="1" applyBorder="1" applyAlignment="1">
      <alignment horizontal="center"/>
    </xf>
    <xf numFmtId="41" fontId="0" fillId="47" borderId="9" xfId="0" applyNumberFormat="1" applyFill="1" applyBorder="1" applyAlignment="1">
      <alignment horizontal="center"/>
    </xf>
    <xf numFmtId="41" fontId="0" fillId="46" borderId="12" xfId="0" applyNumberFormat="1" applyFill="1" applyBorder="1" applyAlignment="1">
      <alignment horizontal="center"/>
    </xf>
    <xf numFmtId="41" fontId="0" fillId="47" borderId="13" xfId="0" applyNumberFormat="1" applyFill="1" applyBorder="1" applyAlignment="1">
      <alignment horizontal="center"/>
    </xf>
    <xf numFmtId="41" fontId="0" fillId="46" borderId="13" xfId="0" applyNumberFormat="1" applyFill="1" applyBorder="1" applyAlignment="1">
      <alignment horizontal="center"/>
    </xf>
    <xf numFmtId="165" fontId="60" fillId="5" borderId="15" xfId="1" applyFont="1" applyFill="1" applyBorder="1"/>
    <xf numFmtId="165" fontId="0" fillId="46" borderId="28" xfId="0" applyNumberFormat="1" applyFill="1" applyBorder="1" applyAlignment="1">
      <alignment horizontal="center"/>
    </xf>
    <xf numFmtId="165" fontId="0" fillId="46" borderId="10" xfId="0" applyNumberFormat="1" applyFill="1" applyBorder="1" applyAlignment="1">
      <alignment horizontal="center"/>
    </xf>
    <xf numFmtId="165" fontId="0" fillId="46" borderId="12" xfId="0" applyNumberFormat="1" applyFill="1" applyBorder="1" applyAlignment="1">
      <alignment horizontal="center"/>
    </xf>
    <xf numFmtId="165" fontId="0" fillId="47" borderId="13" xfId="0" applyNumberFormat="1" applyFill="1" applyBorder="1" applyAlignment="1">
      <alignment horizontal="center"/>
    </xf>
    <xf numFmtId="165" fontId="41" fillId="35" borderId="0" xfId="1" applyFont="1" applyFill="1"/>
    <xf numFmtId="165" fontId="0" fillId="46" borderId="9" xfId="0" applyNumberFormat="1" applyFill="1" applyBorder="1" applyAlignment="1">
      <alignment horizontal="center"/>
    </xf>
    <xf numFmtId="165" fontId="0" fillId="46" borderId="11" xfId="0" applyNumberFormat="1" applyFill="1" applyBorder="1" applyAlignment="1">
      <alignment horizontal="center"/>
    </xf>
    <xf numFmtId="41" fontId="0" fillId="47" borderId="15" xfId="0" applyNumberFormat="1" applyFill="1" applyBorder="1" applyAlignment="1">
      <alignment horizontal="center"/>
    </xf>
    <xf numFmtId="192" fontId="0" fillId="47" borderId="9" xfId="0" applyNumberFormat="1" applyFill="1" applyBorder="1" applyAlignment="1">
      <alignment horizontal="center"/>
    </xf>
    <xf numFmtId="165" fontId="60" fillId="5" borderId="8" xfId="1" applyFont="1" applyFill="1" applyBorder="1"/>
    <xf numFmtId="2" fontId="0" fillId="5" borderId="3" xfId="0" applyNumberFormat="1" applyFill="1" applyBorder="1"/>
    <xf numFmtId="164" fontId="0" fillId="5" borderId="3" xfId="0" applyFill="1" applyBorder="1"/>
    <xf numFmtId="165" fontId="60" fillId="5" borderId="1" xfId="1" applyFont="1" applyFill="1" applyBorder="1" applyAlignment="1">
      <alignment horizontal="right"/>
    </xf>
    <xf numFmtId="165" fontId="0" fillId="43" borderId="28" xfId="0" applyNumberFormat="1" applyFill="1" applyBorder="1" applyAlignment="1">
      <alignment horizontal="center"/>
    </xf>
    <xf numFmtId="182" fontId="0" fillId="43" borderId="10" xfId="0" applyNumberFormat="1" applyFill="1" applyBorder="1" applyAlignment="1">
      <alignment horizontal="center"/>
    </xf>
    <xf numFmtId="165" fontId="0" fillId="43" borderId="12" xfId="0" applyNumberFormat="1" applyFill="1" applyBorder="1" applyAlignment="1">
      <alignment horizontal="center"/>
    </xf>
    <xf numFmtId="182" fontId="0" fillId="43" borderId="13" xfId="0" applyNumberFormat="1" applyFill="1" applyBorder="1" applyAlignment="1">
      <alignment horizontal="center"/>
    </xf>
    <xf numFmtId="165" fontId="0" fillId="43" borderId="13" xfId="0" applyNumberFormat="1" applyFill="1" applyBorder="1" applyAlignment="1">
      <alignment horizontal="center"/>
    </xf>
    <xf numFmtId="165" fontId="1" fillId="45" borderId="1" xfId="0" applyNumberFormat="1" applyFont="1" applyFill="1" applyBorder="1" applyAlignment="1">
      <alignment horizontal="center"/>
    </xf>
    <xf numFmtId="164" fontId="58" fillId="48" borderId="1" xfId="0" applyFont="1" applyFill="1" applyBorder="1" applyAlignment="1">
      <alignment horizontal="center"/>
    </xf>
    <xf numFmtId="43" fontId="0" fillId="25" borderId="28" xfId="0" applyNumberFormat="1" applyFill="1" applyBorder="1"/>
    <xf numFmtId="43" fontId="0" fillId="5" borderId="8" xfId="0" applyNumberFormat="1" applyFill="1" applyBorder="1" applyAlignment="1">
      <alignment vertical="center"/>
    </xf>
    <xf numFmtId="43" fontId="0" fillId="25" borderId="10" xfId="0" applyNumberFormat="1" applyFill="1" applyBorder="1"/>
    <xf numFmtId="43" fontId="0" fillId="5" borderId="9" xfId="0" applyNumberFormat="1" applyFill="1" applyBorder="1" applyAlignment="1">
      <alignment vertical="center"/>
    </xf>
    <xf numFmtId="43" fontId="0" fillId="25" borderId="12" xfId="0" applyNumberFormat="1" applyFill="1" applyBorder="1"/>
    <xf numFmtId="165" fontId="0" fillId="47" borderId="1" xfId="0" applyNumberFormat="1" applyFill="1" applyBorder="1" applyAlignment="1">
      <alignment horizontal="center"/>
    </xf>
    <xf numFmtId="43" fontId="0" fillId="5" borderId="15" xfId="0" applyNumberFormat="1" applyFill="1" applyBorder="1" applyAlignment="1">
      <alignment vertical="center"/>
    </xf>
    <xf numFmtId="165" fontId="1" fillId="5" borderId="0" xfId="1" applyFont="1" applyFill="1"/>
    <xf numFmtId="164" fontId="57" fillId="5" borderId="63" xfId="0" applyFont="1" applyFill="1" applyBorder="1" applyAlignment="1">
      <alignment horizontal="center"/>
    </xf>
    <xf numFmtId="164" fontId="57" fillId="5" borderId="64" xfId="0" applyFont="1" applyFill="1" applyBorder="1" applyAlignment="1">
      <alignment horizontal="center"/>
    </xf>
    <xf numFmtId="192" fontId="0" fillId="5" borderId="28" xfId="0" applyNumberFormat="1" applyFill="1" applyBorder="1" applyAlignment="1">
      <alignment horizontal="center"/>
    </xf>
    <xf numFmtId="164" fontId="59" fillId="43" borderId="10" xfId="0" applyFont="1" applyFill="1" applyBorder="1"/>
    <xf numFmtId="192" fontId="0" fillId="43" borderId="10" xfId="0" applyNumberFormat="1" applyFill="1" applyBorder="1" applyAlignment="1">
      <alignment horizontal="center"/>
    </xf>
    <xf numFmtId="192" fontId="0" fillId="43" borderId="13" xfId="0" applyNumberFormat="1" applyFill="1" applyBorder="1" applyAlignment="1">
      <alignment horizontal="center"/>
    </xf>
    <xf numFmtId="192" fontId="0" fillId="5" borderId="11" xfId="0" applyNumberFormat="1" applyFill="1" applyBorder="1" applyAlignment="1">
      <alignment horizontal="center"/>
    </xf>
    <xf numFmtId="164" fontId="59" fillId="43" borderId="12" xfId="0" applyFont="1" applyFill="1" applyBorder="1"/>
    <xf numFmtId="192" fontId="0" fillId="43" borderId="12" xfId="0" applyNumberFormat="1" applyFill="1" applyBorder="1" applyAlignment="1">
      <alignment horizontal="center"/>
    </xf>
    <xf numFmtId="164" fontId="59" fillId="43" borderId="13" xfId="0" applyFont="1" applyFill="1" applyBorder="1"/>
    <xf numFmtId="192" fontId="0" fillId="0" borderId="8" xfId="0" applyNumberFormat="1" applyBorder="1" applyAlignment="1">
      <alignment horizontal="center"/>
    </xf>
    <xf numFmtId="164" fontId="65" fillId="0" borderId="10" xfId="0" applyFont="1" applyBorder="1"/>
    <xf numFmtId="192" fontId="36" fillId="43" borderId="10" xfId="0" applyNumberFormat="1" applyFont="1" applyFill="1" applyBorder="1" applyAlignment="1">
      <alignment horizontal="center"/>
    </xf>
    <xf numFmtId="192" fontId="0" fillId="0" borderId="9" xfId="0" applyNumberFormat="1" applyBorder="1" applyAlignment="1">
      <alignment horizontal="center"/>
    </xf>
    <xf numFmtId="164" fontId="59" fillId="43" borderId="69" xfId="0" applyFont="1" applyFill="1" applyBorder="1"/>
    <xf numFmtId="192" fontId="0" fillId="43" borderId="70" xfId="0" applyNumberFormat="1" applyFill="1" applyBorder="1" applyAlignment="1">
      <alignment horizontal="center"/>
    </xf>
    <xf numFmtId="164" fontId="58" fillId="46" borderId="8" xfId="0" applyFont="1" applyFill="1" applyBorder="1" applyAlignment="1">
      <alignment horizontal="center"/>
    </xf>
    <xf numFmtId="164" fontId="58" fillId="37" borderId="8" xfId="0" applyFont="1" applyFill="1" applyBorder="1" applyAlignment="1">
      <alignment horizontal="center"/>
    </xf>
    <xf numFmtId="192" fontId="0" fillId="46" borderId="28" xfId="0" applyNumberFormat="1" applyFill="1" applyBorder="1" applyAlignment="1">
      <alignment horizontal="center"/>
    </xf>
    <xf numFmtId="192" fontId="0" fillId="5" borderId="71" xfId="0" applyNumberFormat="1" applyFill="1" applyBorder="1"/>
    <xf numFmtId="192" fontId="0" fillId="5" borderId="72" xfId="0" applyNumberFormat="1" applyFill="1" applyBorder="1"/>
    <xf numFmtId="192" fontId="0" fillId="46" borderId="11" xfId="0" applyNumberFormat="1" applyFill="1" applyBorder="1" applyAlignment="1">
      <alignment horizontal="center"/>
    </xf>
    <xf numFmtId="192" fontId="0" fillId="5" borderId="73" xfId="0" applyNumberFormat="1" applyFill="1" applyBorder="1"/>
    <xf numFmtId="192" fontId="0" fillId="5" borderId="74" xfId="0" applyNumberFormat="1" applyFill="1" applyBorder="1"/>
    <xf numFmtId="192" fontId="0" fillId="5" borderId="75" xfId="0" applyNumberFormat="1" applyFill="1" applyBorder="1"/>
    <xf numFmtId="192" fontId="26" fillId="5" borderId="73" xfId="0" applyNumberFormat="1" applyFont="1" applyFill="1" applyBorder="1"/>
    <xf numFmtId="192" fontId="26" fillId="5" borderId="72" xfId="0" applyNumberFormat="1" applyFont="1" applyFill="1" applyBorder="1"/>
    <xf numFmtId="182" fontId="0" fillId="5" borderId="0" xfId="1" applyNumberFormat="1" applyFont="1" applyFill="1" applyBorder="1"/>
    <xf numFmtId="192" fontId="0" fillId="25" borderId="8" xfId="0" applyNumberFormat="1" applyFill="1" applyBorder="1" applyAlignment="1">
      <alignment horizontal="center"/>
    </xf>
    <xf numFmtId="192" fontId="0" fillId="0" borderId="76" xfId="0" applyNumberFormat="1" applyBorder="1"/>
    <xf numFmtId="192" fontId="0" fillId="5" borderId="77" xfId="0" applyNumberFormat="1" applyFill="1" applyBorder="1"/>
    <xf numFmtId="192" fontId="26" fillId="5" borderId="75" xfId="0" applyNumberFormat="1" applyFont="1" applyFill="1" applyBorder="1"/>
    <xf numFmtId="192" fontId="0" fillId="5" borderId="78" xfId="0" applyNumberFormat="1" applyFill="1" applyBorder="1"/>
    <xf numFmtId="192" fontId="0" fillId="5" borderId="79" xfId="0" applyNumberFormat="1" applyFill="1" applyBorder="1"/>
    <xf numFmtId="10" fontId="0" fillId="5" borderId="0" xfId="2" applyNumberFormat="1" applyFont="1" applyFill="1"/>
    <xf numFmtId="165" fontId="0" fillId="5" borderId="0" xfId="1" applyFont="1" applyFill="1" applyBorder="1"/>
    <xf numFmtId="164" fontId="59" fillId="5" borderId="9" xfId="0" applyFont="1" applyFill="1" applyBorder="1"/>
    <xf numFmtId="164" fontId="59" fillId="43" borderId="70" xfId="0" applyFont="1" applyFill="1" applyBorder="1"/>
    <xf numFmtId="164" fontId="58" fillId="5" borderId="15" xfId="0" applyFont="1" applyFill="1" applyBorder="1" applyAlignment="1">
      <alignment horizontal="center"/>
    </xf>
    <xf numFmtId="192" fontId="60" fillId="49" borderId="15" xfId="1" applyNumberFormat="1" applyFont="1" applyFill="1" applyBorder="1" applyAlignment="1">
      <alignment horizontal="center"/>
    </xf>
    <xf numFmtId="164" fontId="58" fillId="5" borderId="59" xfId="0" applyFont="1" applyFill="1" applyBorder="1" applyAlignment="1">
      <alignment horizontal="left"/>
    </xf>
    <xf numFmtId="164" fontId="58" fillId="5" borderId="0" xfId="0" applyFont="1" applyFill="1" applyAlignment="1">
      <alignment horizontal="left"/>
    </xf>
    <xf numFmtId="164" fontId="58" fillId="5" borderId="60" xfId="0" applyFont="1" applyFill="1" applyBorder="1" applyAlignment="1">
      <alignment horizontal="right"/>
    </xf>
    <xf numFmtId="192" fontId="0" fillId="50" borderId="28" xfId="0" applyNumberFormat="1" applyFill="1" applyBorder="1" applyAlignment="1">
      <alignment horizontal="center"/>
    </xf>
    <xf numFmtId="164" fontId="58" fillId="5" borderId="5" xfId="0" applyFont="1" applyFill="1" applyBorder="1" applyAlignment="1">
      <alignment horizontal="left"/>
    </xf>
    <xf numFmtId="164" fontId="58" fillId="5" borderId="6" xfId="0" applyFont="1" applyFill="1" applyBorder="1" applyAlignment="1">
      <alignment horizontal="left"/>
    </xf>
    <xf numFmtId="164" fontId="58" fillId="5" borderId="7" xfId="0" applyFont="1" applyFill="1" applyBorder="1" applyAlignment="1">
      <alignment horizontal="right"/>
    </xf>
    <xf numFmtId="192" fontId="0" fillId="50" borderId="70" xfId="0" applyNumberFormat="1" applyFill="1" applyBorder="1" applyAlignment="1">
      <alignment horizontal="center"/>
    </xf>
    <xf numFmtId="164" fontId="66" fillId="0" borderId="0" xfId="160" applyFont="1"/>
    <xf numFmtId="164" fontId="57" fillId="41" borderId="1" xfId="0" applyFont="1" applyFill="1" applyBorder="1" applyAlignment="1">
      <alignment horizontal="center"/>
    </xf>
    <xf numFmtId="43" fontId="0" fillId="5" borderId="13" xfId="0" applyNumberFormat="1" applyFill="1" applyBorder="1"/>
    <xf numFmtId="164" fontId="59" fillId="5" borderId="13" xfId="0" applyFont="1" applyFill="1" applyBorder="1"/>
    <xf numFmtId="164" fontId="67" fillId="5" borderId="0" xfId="0" applyFont="1" applyFill="1"/>
    <xf numFmtId="164" fontId="63" fillId="5" borderId="9" xfId="0" applyFont="1" applyFill="1" applyBorder="1" applyAlignment="1">
      <alignment vertical="center"/>
    </xf>
    <xf numFmtId="43" fontId="60" fillId="5" borderId="8" xfId="1" applyNumberFormat="1" applyFont="1" applyFill="1" applyBorder="1"/>
    <xf numFmtId="164" fontId="59" fillId="43" borderId="8" xfId="0" applyFont="1" applyFill="1" applyBorder="1"/>
    <xf numFmtId="43" fontId="60" fillId="43" borderId="28" xfId="1" applyNumberFormat="1" applyFont="1" applyFill="1" applyBorder="1"/>
    <xf numFmtId="164" fontId="59" fillId="43" borderId="9" xfId="0" applyFont="1" applyFill="1" applyBorder="1"/>
    <xf numFmtId="43" fontId="60" fillId="43" borderId="11" xfId="1" applyNumberFormat="1" applyFont="1" applyFill="1" applyBorder="1"/>
    <xf numFmtId="164" fontId="59" fillId="43" borderId="15" xfId="0" applyFont="1" applyFill="1" applyBorder="1"/>
    <xf numFmtId="43" fontId="60" fillId="43" borderId="15" xfId="1" applyNumberFormat="1" applyFont="1" applyFill="1" applyBorder="1"/>
    <xf numFmtId="43" fontId="0" fillId="5" borderId="9" xfId="0" applyNumberFormat="1" applyFill="1" applyBorder="1"/>
    <xf numFmtId="43" fontId="0" fillId="43" borderId="8" xfId="0" applyNumberFormat="1" applyFill="1" applyBorder="1"/>
    <xf numFmtId="43" fontId="0" fillId="43" borderId="12" xfId="0" applyNumberFormat="1" applyFill="1" applyBorder="1"/>
    <xf numFmtId="164" fontId="63" fillId="5" borderId="84" xfId="0" applyFont="1" applyFill="1" applyBorder="1" applyAlignment="1">
      <alignment horizontal="center" vertical="center"/>
    </xf>
    <xf numFmtId="164" fontId="59" fillId="5" borderId="83" xfId="0" applyFont="1" applyFill="1" applyBorder="1"/>
    <xf numFmtId="164" fontId="63" fillId="5" borderId="0" xfId="0" applyFont="1" applyFill="1" applyAlignment="1">
      <alignment horizontal="center" vertical="center"/>
    </xf>
    <xf numFmtId="164" fontId="59" fillId="43" borderId="4" xfId="0" applyFont="1" applyFill="1" applyBorder="1"/>
    <xf numFmtId="164" fontId="59" fillId="43" borderId="60" xfId="0" applyFont="1" applyFill="1" applyBorder="1"/>
    <xf numFmtId="164" fontId="59" fillId="43" borderId="7" xfId="0" applyFont="1" applyFill="1" applyBorder="1"/>
    <xf numFmtId="43" fontId="0" fillId="43" borderId="13" xfId="0" applyNumberFormat="1" applyFill="1" applyBorder="1"/>
    <xf numFmtId="164" fontId="59" fillId="5" borderId="60" xfId="0" applyFont="1" applyFill="1" applyBorder="1"/>
    <xf numFmtId="43" fontId="0" fillId="43" borderId="61" xfId="0" applyNumberFormat="1" applyFill="1" applyBorder="1"/>
    <xf numFmtId="43" fontId="0" fillId="43" borderId="9" xfId="0" applyNumberFormat="1" applyFill="1" applyBorder="1"/>
    <xf numFmtId="164" fontId="63" fillId="5" borderId="63" xfId="0" applyFont="1" applyFill="1" applyBorder="1" applyAlignment="1">
      <alignment horizontal="center" vertical="center"/>
    </xf>
    <xf numFmtId="164" fontId="59" fillId="43" borderId="64" xfId="0" applyFont="1" applyFill="1" applyBorder="1"/>
    <xf numFmtId="43" fontId="0" fillId="43" borderId="70" xfId="0" applyNumberFormat="1" applyFill="1" applyBorder="1"/>
    <xf numFmtId="164" fontId="63" fillId="5" borderId="83" xfId="0" applyFont="1" applyFill="1" applyBorder="1" applyAlignment="1">
      <alignment horizontal="center" vertical="center"/>
    </xf>
    <xf numFmtId="164" fontId="59" fillId="5" borderId="25" xfId="0" applyFont="1" applyFill="1" applyBorder="1"/>
    <xf numFmtId="164" fontId="63" fillId="5" borderId="60" xfId="0" applyFont="1" applyFill="1" applyBorder="1" applyAlignment="1">
      <alignment horizontal="center" vertical="center"/>
    </xf>
    <xf numFmtId="43" fontId="0" fillId="43" borderId="28" xfId="0" applyNumberFormat="1" applyFill="1" applyBorder="1"/>
    <xf numFmtId="43" fontId="0" fillId="43" borderId="10" xfId="0" applyNumberFormat="1" applyFill="1" applyBorder="1"/>
    <xf numFmtId="2" fontId="0" fillId="5" borderId="0" xfId="1" applyNumberFormat="1" applyFont="1" applyFill="1"/>
    <xf numFmtId="192" fontId="60" fillId="49" borderId="87" xfId="1" applyNumberFormat="1" applyFont="1" applyFill="1" applyBorder="1" applyAlignment="1">
      <alignment horizontal="center"/>
    </xf>
    <xf numFmtId="192" fontId="26" fillId="5" borderId="74" xfId="0" applyNumberFormat="1" applyFont="1" applyFill="1" applyBorder="1"/>
    <xf numFmtId="192" fontId="0" fillId="5" borderId="76" xfId="0" applyNumberFormat="1" applyFill="1" applyBorder="1"/>
    <xf numFmtId="182" fontId="26" fillId="35" borderId="0" xfId="1" applyNumberFormat="1" applyFont="1" applyFill="1"/>
    <xf numFmtId="165" fontId="0" fillId="43" borderId="10" xfId="1" applyFont="1" applyFill="1" applyBorder="1" applyAlignment="1">
      <alignment horizontal="center"/>
    </xf>
    <xf numFmtId="192" fontId="60" fillId="51" borderId="15" xfId="1" applyNumberFormat="1" applyFont="1" applyFill="1" applyBorder="1" applyAlignment="1">
      <alignment horizontal="center"/>
    </xf>
    <xf numFmtId="192" fontId="0" fillId="52" borderId="11" xfId="0" applyNumberFormat="1" applyFill="1" applyBorder="1" applyAlignment="1">
      <alignment horizontal="center"/>
    </xf>
    <xf numFmtId="2" fontId="26" fillId="5" borderId="0" xfId="0" applyNumberFormat="1" applyFont="1" applyFill="1"/>
    <xf numFmtId="192" fontId="0" fillId="52" borderId="28" xfId="0" applyNumberFormat="1" applyFill="1" applyBorder="1" applyAlignment="1">
      <alignment horizontal="center"/>
    </xf>
    <xf numFmtId="192" fontId="0" fillId="50" borderId="69" xfId="0" applyNumberFormat="1" applyFill="1" applyBorder="1" applyAlignment="1">
      <alignment horizontal="center"/>
    </xf>
    <xf numFmtId="192" fontId="0" fillId="52" borderId="70" xfId="0" applyNumberFormat="1" applyFill="1" applyBorder="1" applyAlignment="1">
      <alignment horizontal="center"/>
    </xf>
    <xf numFmtId="43" fontId="0" fillId="43" borderId="76" xfId="0" applyNumberFormat="1" applyFill="1" applyBorder="1"/>
    <xf numFmtId="43" fontId="0" fillId="43" borderId="74" xfId="0" applyNumberFormat="1" applyFill="1" applyBorder="1"/>
    <xf numFmtId="43" fontId="0" fillId="43" borderId="75" xfId="0" applyNumberFormat="1" applyFill="1" applyBorder="1"/>
    <xf numFmtId="43" fontId="0" fillId="43" borderId="90" xfId="0" applyNumberFormat="1" applyFill="1" applyBorder="1"/>
    <xf numFmtId="43" fontId="0" fillId="43" borderId="91" xfId="0" applyNumberFormat="1" applyFill="1" applyBorder="1"/>
    <xf numFmtId="43" fontId="0" fillId="43" borderId="79" xfId="0" applyNumberFormat="1" applyFill="1" applyBorder="1"/>
    <xf numFmtId="43" fontId="0" fillId="43" borderId="73" xfId="0" applyNumberFormat="1" applyFill="1" applyBorder="1"/>
    <xf numFmtId="43" fontId="0" fillId="43" borderId="72" xfId="0" applyNumberFormat="1" applyFill="1" applyBorder="1"/>
    <xf numFmtId="43" fontId="0" fillId="43" borderId="25" xfId="0" applyNumberFormat="1" applyFill="1" applyBorder="1"/>
    <xf numFmtId="164" fontId="59" fillId="43" borderId="28" xfId="0" applyFont="1" applyFill="1" applyBorder="1" applyAlignment="1">
      <alignment vertical="center"/>
    </xf>
    <xf numFmtId="164" fontId="59" fillId="43" borderId="9" xfId="0" applyFont="1" applyFill="1" applyBorder="1" applyAlignment="1">
      <alignment vertical="center"/>
    </xf>
    <xf numFmtId="43" fontId="0" fillId="43" borderId="11" xfId="0" applyNumberFormat="1" applyFill="1" applyBorder="1"/>
    <xf numFmtId="164" fontId="59" fillId="43" borderId="1" xfId="0" applyFont="1" applyFill="1" applyBorder="1" applyAlignment="1">
      <alignment vertical="center"/>
    </xf>
    <xf numFmtId="43" fontId="1" fillId="43" borderId="1" xfId="0" applyNumberFormat="1" applyFont="1" applyFill="1" applyBorder="1"/>
    <xf numFmtId="43" fontId="0" fillId="43" borderId="69" xfId="0" applyNumberFormat="1" applyFill="1" applyBorder="1"/>
    <xf numFmtId="164" fontId="59" fillId="15" borderId="9" xfId="0" applyFont="1" applyFill="1" applyBorder="1"/>
    <xf numFmtId="43" fontId="0" fillId="15" borderId="9" xfId="0" applyNumberFormat="1" applyFill="1" applyBorder="1"/>
    <xf numFmtId="164" fontId="59" fillId="53" borderId="8" xfId="0" applyFont="1" applyFill="1" applyBorder="1"/>
    <xf numFmtId="43" fontId="0" fillId="53" borderId="28" xfId="0" applyNumberFormat="1" applyFill="1" applyBorder="1"/>
    <xf numFmtId="164" fontId="59" fillId="53" borderId="9" xfId="0" applyFont="1" applyFill="1" applyBorder="1"/>
    <xf numFmtId="43" fontId="0" fillId="53" borderId="10" xfId="0" applyNumberFormat="1" applyFill="1" applyBorder="1"/>
    <xf numFmtId="164" fontId="63" fillId="5" borderId="15" xfId="0" applyFont="1" applyFill="1" applyBorder="1" applyAlignment="1">
      <alignment vertical="center"/>
    </xf>
    <xf numFmtId="164" fontId="59" fillId="53" borderId="15" xfId="0" applyFont="1" applyFill="1" applyBorder="1"/>
    <xf numFmtId="43" fontId="0" fillId="53" borderId="13" xfId="0" applyNumberFormat="1" applyFill="1" applyBorder="1"/>
    <xf numFmtId="164" fontId="68" fillId="5" borderId="8" xfId="0" applyFont="1" applyFill="1" applyBorder="1" applyAlignment="1">
      <alignment horizontal="center" vertical="center"/>
    </xf>
    <xf numFmtId="164" fontId="59" fillId="5" borderId="1" xfId="0" applyFont="1" applyFill="1" applyBorder="1"/>
    <xf numFmtId="43" fontId="0" fillId="5" borderId="1" xfId="0" applyNumberFormat="1" applyFill="1" applyBorder="1"/>
    <xf numFmtId="164" fontId="68" fillId="5" borderId="9" xfId="0" applyFont="1" applyFill="1" applyBorder="1" applyAlignment="1">
      <alignment horizontal="center" vertical="center"/>
    </xf>
    <xf numFmtId="164" fontId="63" fillId="5" borderId="65" xfId="0" applyFont="1" applyFill="1" applyBorder="1" applyAlignment="1">
      <alignment vertical="center"/>
    </xf>
    <xf numFmtId="164" fontId="59" fillId="5" borderId="36" xfId="0" applyFont="1" applyFill="1" applyBorder="1"/>
    <xf numFmtId="164" fontId="63" fillId="5" borderId="67" xfId="0" applyFont="1" applyFill="1" applyBorder="1" applyAlignment="1">
      <alignment vertical="center"/>
    </xf>
    <xf numFmtId="43" fontId="0" fillId="5" borderId="8" xfId="0" applyNumberFormat="1" applyFill="1" applyBorder="1"/>
    <xf numFmtId="164" fontId="59" fillId="43" borderId="8" xfId="0" applyFont="1" applyFill="1" applyBorder="1" applyAlignment="1">
      <alignment vertical="center"/>
    </xf>
    <xf numFmtId="164" fontId="59" fillId="43" borderId="12" xfId="0" applyFont="1" applyFill="1" applyBorder="1" applyAlignment="1">
      <alignment vertical="center"/>
    </xf>
    <xf numFmtId="43" fontId="0" fillId="5" borderId="11" xfId="0" applyNumberFormat="1" applyFill="1" applyBorder="1"/>
    <xf numFmtId="164" fontId="59" fillId="15" borderId="4" xfId="0" applyFont="1" applyFill="1" applyBorder="1"/>
    <xf numFmtId="43" fontId="0" fillId="15" borderId="8" xfId="0" applyNumberFormat="1" applyFill="1" applyBorder="1"/>
    <xf numFmtId="164" fontId="59" fillId="53" borderId="4" xfId="0" applyFont="1" applyFill="1" applyBorder="1"/>
    <xf numFmtId="164" fontId="59" fillId="53" borderId="60" xfId="0" applyFont="1" applyFill="1" applyBorder="1"/>
    <xf numFmtId="43" fontId="0" fillId="53" borderId="12" xfId="0" applyNumberFormat="1" applyFill="1" applyBorder="1"/>
    <xf numFmtId="165" fontId="1" fillId="54" borderId="99" xfId="1" applyFont="1" applyFill="1" applyBorder="1"/>
    <xf numFmtId="165" fontId="1" fillId="54" borderId="10" xfId="1" applyFont="1" applyFill="1" applyBorder="1"/>
    <xf numFmtId="43" fontId="0" fillId="55" borderId="70" xfId="0" applyNumberFormat="1" applyFill="1" applyBorder="1"/>
    <xf numFmtId="164" fontId="63" fillId="5" borderId="0" xfId="0" applyFont="1" applyFill="1" applyAlignment="1">
      <alignment horizontal="center"/>
    </xf>
    <xf numFmtId="2" fontId="0" fillId="5" borderId="6" xfId="0" applyNumberFormat="1" applyFill="1" applyBorder="1"/>
    <xf numFmtId="182" fontId="60" fillId="5" borderId="28" xfId="1" applyNumberFormat="1" applyFont="1" applyFill="1" applyBorder="1" applyAlignment="1">
      <alignment horizontal="center"/>
    </xf>
    <xf numFmtId="165" fontId="60" fillId="5" borderId="28" xfId="1" applyFont="1" applyFill="1" applyBorder="1" applyAlignment="1">
      <alignment horizontal="center"/>
    </xf>
    <xf numFmtId="165" fontId="70" fillId="0" borderId="0" xfId="1" applyFont="1"/>
    <xf numFmtId="182" fontId="60" fillId="35" borderId="28" xfId="1" applyNumberFormat="1" applyFont="1" applyFill="1" applyBorder="1" applyAlignment="1">
      <alignment horizontal="center"/>
    </xf>
    <xf numFmtId="182" fontId="64" fillId="0" borderId="28" xfId="1" applyNumberFormat="1" applyFont="1" applyFill="1" applyBorder="1" applyAlignment="1">
      <alignment horizontal="center"/>
    </xf>
    <xf numFmtId="165" fontId="64" fillId="5" borderId="28" xfId="1" applyFont="1" applyFill="1" applyBorder="1" applyAlignment="1">
      <alignment horizontal="center"/>
    </xf>
    <xf numFmtId="182" fontId="64" fillId="5" borderId="28" xfId="1" applyNumberFormat="1" applyFont="1" applyFill="1" applyBorder="1" applyAlignment="1">
      <alignment horizontal="center"/>
    </xf>
    <xf numFmtId="3" fontId="17" fillId="0" borderId="0" xfId="154" applyNumberFormat="1"/>
    <xf numFmtId="182" fontId="60" fillId="5" borderId="1" xfId="1" applyNumberFormat="1" applyFont="1" applyFill="1" applyBorder="1" applyAlignment="1">
      <alignment horizontal="center"/>
    </xf>
    <xf numFmtId="164" fontId="71" fillId="5" borderId="9" xfId="0" applyFont="1" applyFill="1" applyBorder="1" applyAlignment="1">
      <alignment horizontal="left" vertical="center"/>
    </xf>
    <xf numFmtId="164" fontId="71" fillId="5" borderId="12" xfId="0" applyFont="1" applyFill="1" applyBorder="1" applyAlignment="1">
      <alignment horizontal="left" vertical="center"/>
    </xf>
    <xf numFmtId="182" fontId="17" fillId="0" borderId="1" xfId="1" applyNumberFormat="1" applyFont="1" applyFill="1" applyBorder="1"/>
    <xf numFmtId="164" fontId="71" fillId="5" borderId="8" xfId="0" applyFont="1" applyFill="1" applyBorder="1" applyAlignment="1">
      <alignment vertical="center"/>
    </xf>
    <xf numFmtId="182" fontId="17" fillId="0" borderId="1" xfId="102" applyNumberFormat="1" applyFont="1" applyFill="1" applyBorder="1"/>
    <xf numFmtId="182" fontId="17" fillId="0" borderId="15" xfId="102" applyNumberFormat="1" applyFont="1" applyFill="1" applyBorder="1"/>
    <xf numFmtId="164" fontId="71" fillId="5" borderId="15" xfId="0" applyFont="1" applyFill="1" applyBorder="1" applyAlignment="1">
      <alignment horizontal="right" vertical="center"/>
    </xf>
    <xf numFmtId="164" fontId="71" fillId="5" borderId="28" xfId="0" applyFont="1" applyFill="1" applyBorder="1"/>
    <xf numFmtId="164" fontId="71" fillId="5" borderId="8" xfId="0" applyFont="1" applyFill="1" applyBorder="1"/>
    <xf numFmtId="1" fontId="36" fillId="35" borderId="8" xfId="0" applyNumberFormat="1" applyFont="1" applyFill="1" applyBorder="1" applyAlignment="1">
      <alignment horizontal="center" vertical="center" wrapText="1"/>
    </xf>
    <xf numFmtId="3" fontId="0" fillId="5" borderId="28" xfId="0" applyNumberFormat="1" applyFill="1" applyBorder="1" applyAlignment="1">
      <alignment horizontal="center"/>
    </xf>
    <xf numFmtId="193" fontId="36" fillId="5" borderId="1" xfId="1" applyNumberFormat="1" applyFont="1" applyFill="1" applyBorder="1" applyAlignment="1">
      <alignment horizontal="center"/>
    </xf>
    <xf numFmtId="1" fontId="54" fillId="42" borderId="15" xfId="0" applyNumberFormat="1" applyFont="1" applyFill="1" applyBorder="1" applyAlignment="1">
      <alignment horizontal="center"/>
    </xf>
    <xf numFmtId="193" fontId="0" fillId="56" borderId="1" xfId="1" applyNumberFormat="1" applyFont="1" applyFill="1" applyBorder="1" applyAlignment="1">
      <alignment horizontal="center"/>
    </xf>
    <xf numFmtId="43" fontId="1" fillId="54" borderId="10" xfId="100" applyFont="1" applyFill="1" applyBorder="1"/>
    <xf numFmtId="43" fontId="0" fillId="5" borderId="0" xfId="0" applyNumberFormat="1" applyFill="1"/>
    <xf numFmtId="165" fontId="0" fillId="5" borderId="0" xfId="0" applyNumberFormat="1" applyFill="1"/>
    <xf numFmtId="165" fontId="1" fillId="55" borderId="10" xfId="1" applyFont="1" applyFill="1" applyBorder="1"/>
    <xf numFmtId="164" fontId="73" fillId="0" borderId="0" xfId="0" applyFont="1"/>
    <xf numFmtId="194" fontId="0" fillId="5" borderId="0" xfId="0" applyNumberFormat="1" applyFill="1"/>
    <xf numFmtId="165" fontId="60" fillId="0" borderId="28" xfId="1" applyFont="1" applyFill="1" applyBorder="1" applyAlignment="1">
      <alignment horizontal="center"/>
    </xf>
    <xf numFmtId="182" fontId="64" fillId="5" borderId="11" xfId="1" applyNumberFormat="1" applyFont="1" applyFill="1" applyBorder="1" applyAlignment="1">
      <alignment horizontal="center"/>
    </xf>
    <xf numFmtId="43" fontId="1" fillId="43" borderId="104" xfId="0" applyNumberFormat="1" applyFont="1" applyFill="1" applyBorder="1"/>
    <xf numFmtId="165" fontId="26" fillId="0" borderId="0" xfId="1" applyFont="1" applyFill="1"/>
    <xf numFmtId="43" fontId="0" fillId="43" borderId="71" xfId="0" applyNumberFormat="1" applyFill="1" applyBorder="1"/>
    <xf numFmtId="43" fontId="0" fillId="43" borderId="78" xfId="0" applyNumberFormat="1" applyFill="1" applyBorder="1"/>
    <xf numFmtId="165" fontId="23" fillId="0" borderId="0" xfId="1" applyFont="1" applyFill="1"/>
    <xf numFmtId="43" fontId="0" fillId="15" borderId="9" xfId="0" applyNumberFormat="1" applyFill="1" applyBorder="1" applyAlignment="1">
      <alignment horizontal="center" vertical="center"/>
    </xf>
    <xf numFmtId="43" fontId="0" fillId="15" borderId="8" xfId="0" applyNumberFormat="1" applyFill="1" applyBorder="1" applyAlignment="1">
      <alignment horizontal="center" vertical="center"/>
    </xf>
    <xf numFmtId="165" fontId="1" fillId="54" borderId="77" xfId="1" applyFont="1" applyFill="1" applyBorder="1"/>
    <xf numFmtId="165" fontId="1" fillId="54" borderId="91" xfId="97" applyFont="1" applyFill="1" applyBorder="1"/>
    <xf numFmtId="2" fontId="1" fillId="5" borderId="0" xfId="0" applyNumberFormat="1" applyFont="1" applyFill="1"/>
    <xf numFmtId="165" fontId="74" fillId="5" borderId="0" xfId="1" applyFont="1" applyFill="1" applyBorder="1" applyProtection="1">
      <protection locked="0"/>
    </xf>
    <xf numFmtId="165" fontId="1" fillId="5" borderId="0" xfId="0" applyNumberFormat="1" applyFont="1" applyFill="1"/>
    <xf numFmtId="43" fontId="0" fillId="55" borderId="79" xfId="0" applyNumberFormat="1" applyFill="1" applyBorder="1"/>
    <xf numFmtId="164" fontId="58" fillId="0" borderId="1" xfId="0" applyFont="1" applyBorder="1" applyAlignment="1">
      <alignment horizontal="center"/>
    </xf>
    <xf numFmtId="164" fontId="75" fillId="0" borderId="105" xfId="0" applyFont="1" applyBorder="1" applyAlignment="1">
      <alignment horizontal="center"/>
    </xf>
    <xf numFmtId="178" fontId="0" fillId="5" borderId="0" xfId="0" applyNumberFormat="1" applyFill="1"/>
    <xf numFmtId="182" fontId="0" fillId="5" borderId="28" xfId="1" applyNumberFormat="1" applyFont="1" applyFill="1" applyBorder="1"/>
    <xf numFmtId="165" fontId="0" fillId="5" borderId="10" xfId="1" applyFont="1" applyFill="1" applyBorder="1"/>
    <xf numFmtId="182" fontId="76" fillId="5" borderId="59" xfId="1" applyNumberFormat="1" applyFont="1" applyFill="1" applyBorder="1" applyAlignment="1">
      <alignment horizontal="center"/>
    </xf>
    <xf numFmtId="182" fontId="0" fillId="5" borderId="10" xfId="1" applyNumberFormat="1" applyFont="1" applyFill="1" applyBorder="1"/>
    <xf numFmtId="182" fontId="77" fillId="5" borderId="59" xfId="1" applyNumberFormat="1" applyFont="1" applyFill="1" applyBorder="1" applyAlignment="1">
      <alignment horizontal="center"/>
    </xf>
    <xf numFmtId="182" fontId="0" fillId="5" borderId="13" xfId="1" applyNumberFormat="1" applyFont="1" applyFill="1" applyBorder="1"/>
    <xf numFmtId="165" fontId="0" fillId="5" borderId="11" xfId="1" applyFont="1" applyFill="1" applyBorder="1"/>
    <xf numFmtId="182" fontId="0" fillId="5" borderId="1" xfId="1" applyNumberFormat="1" applyFont="1" applyFill="1" applyBorder="1"/>
    <xf numFmtId="9" fontId="76" fillId="5" borderId="0" xfId="2" applyFont="1" applyFill="1" applyBorder="1" applyAlignment="1">
      <alignment horizontal="center"/>
    </xf>
    <xf numFmtId="2" fontId="0" fillId="57" borderId="28" xfId="0" applyNumberFormat="1" applyFill="1" applyBorder="1" applyAlignment="1">
      <alignment horizontal="center"/>
    </xf>
    <xf numFmtId="2" fontId="0" fillId="57" borderId="1" xfId="0" applyNumberFormat="1" applyFill="1" applyBorder="1" applyAlignment="1">
      <alignment horizontal="center"/>
    </xf>
    <xf numFmtId="2" fontId="54" fillId="42" borderId="15" xfId="0" applyNumberFormat="1" applyFont="1" applyFill="1" applyBorder="1" applyAlignment="1">
      <alignment horizontal="center"/>
    </xf>
    <xf numFmtId="195" fontId="23" fillId="5" borderId="0" xfId="0" applyNumberFormat="1" applyFont="1" applyFill="1" applyAlignment="1">
      <alignment horizontal="center"/>
    </xf>
    <xf numFmtId="165" fontId="41" fillId="5" borderId="0" xfId="1" applyFont="1" applyFill="1"/>
    <xf numFmtId="3" fontId="54" fillId="42" borderId="15" xfId="1" applyNumberFormat="1" applyFont="1" applyFill="1" applyBorder="1" applyAlignment="1">
      <alignment horizontal="center"/>
    </xf>
    <xf numFmtId="164" fontId="56" fillId="5" borderId="0" xfId="0" applyFont="1" applyFill="1"/>
    <xf numFmtId="164" fontId="78" fillId="5" borderId="1" xfId="0" applyFont="1" applyFill="1" applyBorder="1"/>
    <xf numFmtId="165" fontId="0" fillId="5" borderId="1" xfId="1" applyFont="1" applyFill="1" applyBorder="1" applyAlignment="1">
      <alignment horizontal="center"/>
    </xf>
    <xf numFmtId="165" fontId="0" fillId="59" borderId="1" xfId="1" applyFont="1" applyFill="1" applyBorder="1" applyAlignment="1">
      <alignment horizontal="center"/>
    </xf>
    <xf numFmtId="165" fontId="36" fillId="59" borderId="1" xfId="1" applyFont="1" applyFill="1" applyBorder="1" applyAlignment="1">
      <alignment horizontal="center"/>
    </xf>
    <xf numFmtId="165" fontId="0" fillId="35" borderId="0" xfId="1" applyFont="1" applyFill="1" applyBorder="1" applyAlignment="1">
      <alignment horizontal="center"/>
    </xf>
    <xf numFmtId="164" fontId="80" fillId="5" borderId="0" xfId="0" applyFont="1" applyFill="1"/>
    <xf numFmtId="165" fontId="0" fillId="60" borderId="4" xfId="1" applyFont="1" applyFill="1" applyBorder="1" applyAlignment="1">
      <alignment horizontal="center"/>
    </xf>
    <xf numFmtId="165" fontId="0" fillId="60" borderId="8" xfId="1" applyFont="1" applyFill="1" applyBorder="1" applyAlignment="1">
      <alignment horizontal="center"/>
    </xf>
    <xf numFmtId="164" fontId="80" fillId="7" borderId="65" xfId="0" applyFont="1" applyFill="1" applyBorder="1" applyAlignment="1">
      <alignment horizontal="center" vertical="center" wrapText="1"/>
    </xf>
    <xf numFmtId="165" fontId="0" fillId="7" borderId="65" xfId="1" applyFont="1" applyFill="1" applyBorder="1" applyAlignment="1">
      <alignment horizontal="left"/>
    </xf>
    <xf numFmtId="41" fontId="0" fillId="7" borderId="82" xfId="3" applyFont="1" applyFill="1" applyBorder="1" applyAlignment="1">
      <alignment horizontal="left" vertical="center"/>
    </xf>
    <xf numFmtId="164" fontId="80" fillId="7" borderId="67" xfId="0" applyFont="1" applyFill="1" applyBorder="1" applyAlignment="1">
      <alignment horizontal="center" vertical="center" wrapText="1"/>
    </xf>
    <xf numFmtId="165" fontId="0" fillId="7" borderId="110" xfId="1" applyFont="1" applyFill="1" applyBorder="1" applyAlignment="1">
      <alignment horizontal="left"/>
    </xf>
    <xf numFmtId="41" fontId="0" fillId="7" borderId="111" xfId="3" applyFont="1" applyFill="1" applyBorder="1" applyAlignment="1">
      <alignment horizontal="left" vertical="center"/>
    </xf>
    <xf numFmtId="41" fontId="0" fillId="7" borderId="32" xfId="3" applyFont="1" applyFill="1" applyBorder="1" applyAlignment="1">
      <alignment horizontal="left" vertical="center"/>
    </xf>
    <xf numFmtId="165" fontId="0" fillId="7" borderId="80" xfId="1" applyFont="1" applyFill="1" applyBorder="1" applyAlignment="1">
      <alignment horizontal="left"/>
    </xf>
    <xf numFmtId="41" fontId="0" fillId="7" borderId="112" xfId="3" applyFont="1" applyFill="1" applyBorder="1" applyAlignment="1">
      <alignment horizontal="left" vertical="center"/>
    </xf>
    <xf numFmtId="41" fontId="0" fillId="7" borderId="113" xfId="3" applyFont="1" applyFill="1" applyBorder="1" applyAlignment="1">
      <alignment horizontal="left" vertical="center"/>
    </xf>
    <xf numFmtId="164" fontId="80" fillId="6" borderId="65" xfId="0" applyFont="1" applyFill="1" applyBorder="1" applyAlignment="1">
      <alignment horizontal="center" vertical="center" wrapText="1"/>
    </xf>
    <xf numFmtId="165" fontId="0" fillId="6" borderId="65" xfId="1" applyFont="1" applyFill="1" applyBorder="1" applyAlignment="1">
      <alignment horizontal="left"/>
    </xf>
    <xf numFmtId="41" fontId="0" fillId="6" borderId="114" xfId="3" applyFont="1" applyFill="1" applyBorder="1" applyAlignment="1">
      <alignment horizontal="left" vertical="center"/>
    </xf>
    <xf numFmtId="41" fontId="0" fillId="6" borderId="115" xfId="3" applyFont="1" applyFill="1" applyBorder="1" applyAlignment="1">
      <alignment horizontal="left" vertical="center"/>
    </xf>
    <xf numFmtId="164" fontId="80" fillId="6" borderId="67" xfId="0" applyFont="1" applyFill="1" applyBorder="1" applyAlignment="1">
      <alignment horizontal="center" vertical="center" wrapText="1"/>
    </xf>
    <xf numFmtId="165" fontId="0" fillId="6" borderId="110" xfId="1" applyFont="1" applyFill="1" applyBorder="1" applyAlignment="1">
      <alignment horizontal="left"/>
    </xf>
    <xf numFmtId="41" fontId="0" fillId="6" borderId="111" xfId="3" applyFont="1" applyFill="1" applyBorder="1" applyAlignment="1">
      <alignment horizontal="left" vertical="center"/>
    </xf>
    <xf numFmtId="41" fontId="0" fillId="6" borderId="32" xfId="3" applyFont="1" applyFill="1" applyBorder="1" applyAlignment="1">
      <alignment horizontal="left" vertical="center"/>
    </xf>
    <xf numFmtId="164" fontId="80" fillId="6" borderId="80" xfId="0" applyFont="1" applyFill="1" applyBorder="1" applyAlignment="1">
      <alignment horizontal="center" vertical="center" wrapText="1"/>
    </xf>
    <xf numFmtId="165" fontId="0" fillId="6" borderId="80" xfId="1" applyFont="1" applyFill="1" applyBorder="1" applyAlignment="1">
      <alignment horizontal="left"/>
    </xf>
    <xf numFmtId="41" fontId="0" fillId="6" borderId="112" xfId="3" applyFont="1" applyFill="1" applyBorder="1" applyAlignment="1">
      <alignment horizontal="left" vertical="center"/>
    </xf>
    <xf numFmtId="41" fontId="0" fillId="6" borderId="113" xfId="3" applyFont="1" applyFill="1" applyBorder="1" applyAlignment="1">
      <alignment horizontal="left" vertical="center"/>
    </xf>
    <xf numFmtId="41" fontId="0" fillId="7" borderId="116" xfId="3" applyFont="1" applyFill="1" applyBorder="1" applyAlignment="1">
      <alignment horizontal="left" vertical="center"/>
    </xf>
    <xf numFmtId="41" fontId="0" fillId="7" borderId="117" xfId="3" applyFont="1" applyFill="1" applyBorder="1" applyAlignment="1">
      <alignment horizontal="left" vertical="center"/>
    </xf>
    <xf numFmtId="41" fontId="0" fillId="7" borderId="118" xfId="3" applyFont="1" applyFill="1" applyBorder="1" applyAlignment="1">
      <alignment horizontal="left" vertical="center"/>
    </xf>
    <xf numFmtId="41" fontId="0" fillId="6" borderId="119" xfId="3" applyFont="1" applyFill="1" applyBorder="1" applyAlignment="1">
      <alignment horizontal="left" vertical="center"/>
    </xf>
    <xf numFmtId="41" fontId="0" fillId="6" borderId="120" xfId="3" applyFont="1" applyFill="1" applyBorder="1" applyAlignment="1">
      <alignment horizontal="left" vertical="center"/>
    </xf>
    <xf numFmtId="164" fontId="81" fillId="7" borderId="65" xfId="0" applyFont="1" applyFill="1" applyBorder="1" applyAlignment="1">
      <alignment horizontal="center" vertical="center" wrapText="1"/>
    </xf>
    <xf numFmtId="164" fontId="81" fillId="7" borderId="67" xfId="0" applyFont="1" applyFill="1" applyBorder="1" applyAlignment="1">
      <alignment horizontal="center" vertical="center" wrapText="1"/>
    </xf>
    <xf numFmtId="164" fontId="0" fillId="35" borderId="0" xfId="0" applyFill="1"/>
    <xf numFmtId="196" fontId="0" fillId="5" borderId="0" xfId="1" applyNumberFormat="1" applyFont="1" applyFill="1"/>
    <xf numFmtId="1" fontId="0" fillId="57" borderId="28" xfId="0" applyNumberFormat="1" applyFill="1" applyBorder="1" applyAlignment="1">
      <alignment horizontal="center"/>
    </xf>
    <xf numFmtId="195" fontId="0" fillId="57" borderId="28" xfId="0" applyNumberFormat="1" applyFill="1" applyBorder="1" applyAlignment="1">
      <alignment horizontal="center"/>
    </xf>
    <xf numFmtId="195" fontId="0" fillId="57" borderId="1" xfId="0" applyNumberFormat="1" applyFill="1" applyBorder="1" applyAlignment="1">
      <alignment horizontal="center"/>
    </xf>
    <xf numFmtId="164" fontId="0" fillId="61" borderId="1" xfId="0" applyFill="1" applyBorder="1" applyAlignment="1">
      <alignment horizontal="center"/>
    </xf>
    <xf numFmtId="165" fontId="0" fillId="61" borderId="1" xfId="1" applyFont="1" applyFill="1" applyBorder="1" applyAlignment="1">
      <alignment horizontal="center"/>
    </xf>
    <xf numFmtId="2" fontId="41" fillId="5" borderId="0" xfId="0" applyNumberFormat="1" applyFont="1" applyFill="1"/>
    <xf numFmtId="2" fontId="0" fillId="35" borderId="0" xfId="1" applyNumberFormat="1" applyFont="1" applyFill="1" applyBorder="1" applyAlignment="1">
      <alignment horizontal="center"/>
    </xf>
    <xf numFmtId="164" fontId="54" fillId="60" borderId="8" xfId="0" applyFont="1" applyFill="1" applyBorder="1" applyAlignment="1">
      <alignment horizontal="center"/>
    </xf>
    <xf numFmtId="41" fontId="0" fillId="7" borderId="121" xfId="3" applyFont="1" applyFill="1" applyBorder="1" applyAlignment="1">
      <alignment horizontal="left" vertical="center"/>
    </xf>
    <xf numFmtId="178" fontId="0" fillId="7" borderId="99" xfId="3" applyNumberFormat="1" applyFont="1" applyFill="1" applyBorder="1" applyAlignment="1">
      <alignment horizontal="center" vertical="center"/>
    </xf>
    <xf numFmtId="41" fontId="0" fillId="7" borderId="122" xfId="3" applyFont="1" applyFill="1" applyBorder="1" applyAlignment="1">
      <alignment horizontal="left" vertical="center"/>
    </xf>
    <xf numFmtId="178" fontId="0" fillId="7" borderId="10" xfId="3" applyNumberFormat="1" applyFont="1" applyFill="1" applyBorder="1" applyAlignment="1">
      <alignment horizontal="center" vertical="center"/>
    </xf>
    <xf numFmtId="41" fontId="0" fillId="7" borderId="123" xfId="3" applyFont="1" applyFill="1" applyBorder="1" applyAlignment="1">
      <alignment horizontal="left" vertical="center"/>
    </xf>
    <xf numFmtId="178" fontId="0" fillId="7" borderId="13" xfId="3" applyNumberFormat="1" applyFont="1" applyFill="1" applyBorder="1" applyAlignment="1">
      <alignment horizontal="center" vertical="center"/>
    </xf>
    <xf numFmtId="41" fontId="0" fillId="6" borderId="124" xfId="3" applyFont="1" applyFill="1" applyBorder="1" applyAlignment="1">
      <alignment horizontal="left" vertical="center"/>
    </xf>
    <xf numFmtId="178" fontId="0" fillId="7" borderId="28" xfId="3" applyNumberFormat="1" applyFont="1" applyFill="1" applyBorder="1" applyAlignment="1">
      <alignment horizontal="center" vertical="center"/>
    </xf>
    <xf numFmtId="41" fontId="0" fillId="6" borderId="122" xfId="3" applyFont="1" applyFill="1" applyBorder="1" applyAlignment="1">
      <alignment horizontal="left" vertical="center"/>
    </xf>
    <xf numFmtId="41" fontId="0" fillId="6" borderId="125" xfId="3" applyFont="1" applyFill="1" applyBorder="1" applyAlignment="1">
      <alignment horizontal="left" vertical="center"/>
    </xf>
    <xf numFmtId="164" fontId="81" fillId="7" borderId="80" xfId="0" applyFont="1" applyFill="1" applyBorder="1" applyAlignment="1">
      <alignment horizontal="center" vertical="center" wrapText="1"/>
    </xf>
    <xf numFmtId="164" fontId="81" fillId="6" borderId="65" xfId="0" applyFont="1" applyFill="1" applyBorder="1" applyAlignment="1">
      <alignment horizontal="center" vertical="center" wrapText="1"/>
    </xf>
    <xf numFmtId="164" fontId="81" fillId="6" borderId="67" xfId="0" applyFont="1" applyFill="1" applyBorder="1" applyAlignment="1">
      <alignment horizontal="center" vertical="center" wrapText="1"/>
    </xf>
    <xf numFmtId="164" fontId="81" fillId="6" borderId="80" xfId="0" applyFont="1" applyFill="1" applyBorder="1" applyAlignment="1">
      <alignment horizontal="center" vertical="center" wrapText="1"/>
    </xf>
    <xf numFmtId="41" fontId="0" fillId="7" borderId="119" xfId="3" applyFont="1" applyFill="1" applyBorder="1" applyAlignment="1">
      <alignment horizontal="left" vertical="center"/>
    </xf>
    <xf numFmtId="41" fontId="0" fillId="7" borderId="126" xfId="3" applyFont="1" applyFill="1" applyBorder="1" applyAlignment="1">
      <alignment horizontal="left" vertical="center"/>
    </xf>
    <xf numFmtId="41" fontId="0" fillId="6" borderId="126" xfId="3" applyFont="1" applyFill="1" applyBorder="1" applyAlignment="1">
      <alignment horizontal="left" vertical="center"/>
    </xf>
    <xf numFmtId="165" fontId="0" fillId="6" borderId="67" xfId="1" applyFont="1" applyFill="1" applyBorder="1" applyAlignment="1">
      <alignment horizontal="left"/>
    </xf>
    <xf numFmtId="197" fontId="0" fillId="5" borderId="1" xfId="1" applyNumberFormat="1" applyFont="1" applyFill="1" applyBorder="1" applyAlignment="1">
      <alignment horizontal="center"/>
    </xf>
    <xf numFmtId="164" fontId="82" fillId="36" borderId="68" xfId="164" applyFont="1" applyFill="1" applyBorder="1" applyAlignment="1">
      <alignment horizontal="left"/>
    </xf>
    <xf numFmtId="164" fontId="82" fillId="36" borderId="1" xfId="164" applyFont="1" applyFill="1" applyBorder="1" applyAlignment="1">
      <alignment horizontal="left"/>
    </xf>
    <xf numFmtId="164" fontId="83" fillId="5" borderId="0" xfId="0" applyFont="1" applyFill="1" applyAlignment="1">
      <alignment horizontal="center" vertical="center"/>
    </xf>
    <xf numFmtId="164" fontId="3" fillId="31" borderId="1" xfId="164" applyFont="1" applyFill="1" applyBorder="1" applyAlignment="1">
      <alignment horizontal="right" vertical="center"/>
    </xf>
    <xf numFmtId="164" fontId="3" fillId="62" borderId="28" xfId="164" applyFont="1" applyFill="1" applyBorder="1" applyAlignment="1">
      <alignment horizontal="center"/>
    </xf>
    <xf numFmtId="178" fontId="3" fillId="62" borderId="28" xfId="106" applyNumberFormat="1" applyFont="1" applyFill="1" applyBorder="1"/>
    <xf numFmtId="164" fontId="44" fillId="31" borderId="13" xfId="164" applyFont="1" applyFill="1" applyBorder="1" applyAlignment="1">
      <alignment horizontal="center"/>
    </xf>
    <xf numFmtId="178" fontId="44" fillId="31" borderId="13" xfId="106" applyNumberFormat="1" applyFont="1" applyFill="1" applyBorder="1"/>
    <xf numFmtId="164" fontId="3" fillId="3" borderId="28" xfId="164" applyFont="1" applyFill="1" applyBorder="1" applyAlignment="1">
      <alignment horizontal="center"/>
    </xf>
    <xf numFmtId="198" fontId="3" fillId="3" borderId="28" xfId="106" applyNumberFormat="1" applyFont="1" applyFill="1" applyBorder="1"/>
    <xf numFmtId="164" fontId="3" fillId="3" borderId="13" xfId="164" applyFont="1" applyFill="1" applyBorder="1" applyAlignment="1">
      <alignment horizontal="center"/>
    </xf>
    <xf numFmtId="199" fontId="3" fillId="5" borderId="13" xfId="106" applyNumberFormat="1" applyFont="1" applyFill="1" applyBorder="1"/>
    <xf numFmtId="200" fontId="3" fillId="62" borderId="28" xfId="106" applyNumberFormat="1" applyFont="1" applyFill="1" applyBorder="1"/>
    <xf numFmtId="189" fontId="44" fillId="31" borderId="13" xfId="1" applyNumberFormat="1" applyFont="1" applyFill="1" applyBorder="1"/>
    <xf numFmtId="164" fontId="82" fillId="36" borderId="60" xfId="164" applyFont="1" applyFill="1" applyBorder="1" applyAlignment="1">
      <alignment horizontal="left"/>
    </xf>
    <xf numFmtId="178" fontId="82" fillId="36" borderId="9" xfId="106" applyNumberFormat="1" applyFont="1" applyFill="1" applyBorder="1"/>
    <xf numFmtId="177" fontId="82" fillId="36" borderId="1" xfId="106" applyNumberFormat="1" applyFont="1" applyFill="1" applyBorder="1"/>
    <xf numFmtId="178" fontId="82" fillId="36" borderId="1" xfId="106" applyNumberFormat="1" applyFont="1" applyFill="1" applyBorder="1"/>
    <xf numFmtId="178" fontId="3" fillId="31" borderId="13" xfId="106" applyNumberFormat="1" applyFont="1" applyFill="1" applyBorder="1"/>
    <xf numFmtId="199" fontId="3" fillId="3" borderId="13" xfId="106" applyNumberFormat="1" applyFont="1" applyFill="1" applyBorder="1"/>
    <xf numFmtId="177" fontId="3" fillId="31" borderId="13" xfId="106" applyNumberFormat="1" applyFont="1" applyFill="1" applyBorder="1"/>
    <xf numFmtId="178" fontId="82" fillId="36" borderId="78" xfId="106" applyNumberFormat="1" applyFont="1" applyFill="1" applyBorder="1"/>
    <xf numFmtId="201" fontId="0" fillId="5" borderId="0" xfId="0" applyNumberFormat="1" applyFill="1"/>
    <xf numFmtId="3" fontId="0" fillId="5" borderId="0" xfId="0" applyNumberFormat="1" applyFill="1"/>
    <xf numFmtId="41" fontId="0" fillId="7" borderId="127" xfId="3" applyFont="1" applyFill="1" applyBorder="1" applyAlignment="1">
      <alignment horizontal="left" vertical="center"/>
    </xf>
    <xf numFmtId="41" fontId="0" fillId="7" borderId="125" xfId="3" applyFont="1" applyFill="1" applyBorder="1" applyAlignment="1">
      <alignment horizontal="left" vertical="center"/>
    </xf>
    <xf numFmtId="41" fontId="0" fillId="6" borderId="127" xfId="3" applyFont="1" applyFill="1" applyBorder="1" applyAlignment="1">
      <alignment horizontal="left" vertical="center"/>
    </xf>
    <xf numFmtId="41" fontId="0" fillId="6" borderId="33" xfId="3" applyFont="1" applyFill="1" applyBorder="1" applyAlignment="1">
      <alignment horizontal="left" vertical="center"/>
    </xf>
    <xf numFmtId="3" fontId="26" fillId="5" borderId="0" xfId="0" applyNumberFormat="1" applyFont="1" applyFill="1"/>
    <xf numFmtId="2" fontId="0" fillId="0" borderId="0" xfId="0" applyNumberFormat="1"/>
    <xf numFmtId="10" fontId="0" fillId="5" borderId="0" xfId="0" applyNumberFormat="1" applyFill="1"/>
    <xf numFmtId="9" fontId="41" fillId="5" borderId="0" xfId="0" applyNumberFormat="1" applyFont="1" applyFill="1"/>
    <xf numFmtId="2" fontId="36" fillId="0" borderId="0" xfId="2" applyNumberFormat="1" applyFont="1" applyFill="1" applyAlignment="1">
      <alignment horizontal="center"/>
    </xf>
    <xf numFmtId="178" fontId="41" fillId="5" borderId="0" xfId="2" applyNumberFormat="1" applyFont="1" applyFill="1"/>
    <xf numFmtId="9" fontId="41" fillId="5" borderId="0" xfId="2" applyFont="1" applyFill="1"/>
    <xf numFmtId="9" fontId="26" fillId="35" borderId="0" xfId="2" applyFont="1" applyFill="1"/>
    <xf numFmtId="2" fontId="84" fillId="5" borderId="0" xfId="140" applyNumberFormat="1" applyFont="1" applyFill="1" applyAlignment="1" applyProtection="1"/>
    <xf numFmtId="164" fontId="86" fillId="64" borderId="65" xfId="193" applyFont="1" applyBorder="1">
      <alignment horizontal="center" vertical="center"/>
    </xf>
    <xf numFmtId="178" fontId="88" fillId="5" borderId="97" xfId="103" applyNumberFormat="1" applyFont="1" applyFill="1" applyBorder="1" applyAlignment="1">
      <alignment horizontal="center" vertical="center"/>
    </xf>
    <xf numFmtId="178" fontId="89" fillId="5" borderId="131" xfId="103" applyNumberFormat="1" applyFont="1" applyFill="1" applyBorder="1" applyAlignment="1">
      <alignment horizontal="center" vertical="center"/>
    </xf>
    <xf numFmtId="178" fontId="90" fillId="5" borderId="131" xfId="103" applyNumberFormat="1" applyFont="1" applyFill="1" applyBorder="1" applyAlignment="1">
      <alignment horizontal="center" vertical="center"/>
    </xf>
    <xf numFmtId="178" fontId="87" fillId="5" borderId="131" xfId="103" applyNumberFormat="1" applyFont="1" applyFill="1" applyBorder="1" applyAlignment="1">
      <alignment horizontal="center" vertical="center"/>
    </xf>
    <xf numFmtId="165" fontId="91" fillId="5" borderId="0" xfId="1" applyFont="1" applyFill="1"/>
    <xf numFmtId="164" fontId="92" fillId="64" borderId="132" xfId="193" applyFont="1" applyBorder="1" applyAlignment="1">
      <alignment horizontal="left" vertical="center"/>
    </xf>
    <xf numFmtId="164" fontId="93" fillId="64" borderId="17" xfId="193" applyFont="1" applyBorder="1" applyAlignment="1">
      <alignment horizontal="right" vertical="center"/>
    </xf>
    <xf numFmtId="178" fontId="94" fillId="5" borderId="133" xfId="103" applyNumberFormat="1" applyFont="1" applyFill="1" applyBorder="1" applyAlignment="1">
      <alignment horizontal="center" vertical="center"/>
    </xf>
    <xf numFmtId="178" fontId="93" fillId="5" borderId="134" xfId="103" applyNumberFormat="1" applyFont="1" applyFill="1" applyBorder="1" applyAlignment="1">
      <alignment horizontal="center" vertical="center"/>
    </xf>
    <xf numFmtId="178" fontId="95" fillId="5" borderId="11" xfId="103" applyNumberFormat="1" applyFont="1" applyFill="1" applyBorder="1" applyAlignment="1">
      <alignment horizontal="center" vertical="center"/>
    </xf>
    <xf numFmtId="199" fontId="93" fillId="5" borderId="11" xfId="189" applyNumberFormat="1" applyFont="1" applyFill="1" applyBorder="1" applyAlignment="1">
      <alignment horizontal="center" vertical="center"/>
    </xf>
    <xf numFmtId="178" fontId="94" fillId="5" borderId="11" xfId="103" applyNumberFormat="1" applyFont="1" applyFill="1" applyBorder="1" applyAlignment="1">
      <alignment horizontal="center" vertical="center"/>
    </xf>
    <xf numFmtId="164" fontId="92" fillId="64" borderId="34" xfId="193" applyFont="1" applyBorder="1" applyAlignment="1">
      <alignment horizontal="left" vertical="center"/>
    </xf>
    <xf numFmtId="164" fontId="93" fillId="64" borderId="18" xfId="193" applyFont="1" applyBorder="1" applyAlignment="1">
      <alignment horizontal="right" vertical="center"/>
    </xf>
    <xf numFmtId="182" fontId="93" fillId="5" borderId="135" xfId="1" applyNumberFormat="1" applyFont="1" applyFill="1" applyBorder="1" applyAlignment="1">
      <alignment horizontal="center" vertical="center"/>
    </xf>
    <xf numFmtId="178" fontId="95" fillId="5" borderId="10" xfId="103" applyNumberFormat="1" applyFont="1" applyFill="1" applyBorder="1" applyAlignment="1">
      <alignment horizontal="center" vertical="center"/>
    </xf>
    <xf numFmtId="199" fontId="93" fillId="5" borderId="12" xfId="189" applyNumberFormat="1" applyFont="1" applyFill="1" applyBorder="1" applyAlignment="1">
      <alignment horizontal="center" vertical="center"/>
    </xf>
    <xf numFmtId="178" fontId="94" fillId="5" borderId="10" xfId="103" applyNumberFormat="1" applyFont="1" applyFill="1" applyBorder="1" applyAlignment="1">
      <alignment horizontal="center" vertical="center"/>
    </xf>
    <xf numFmtId="43" fontId="94" fillId="5" borderId="136" xfId="103" applyFont="1" applyFill="1" applyBorder="1" applyAlignment="1">
      <alignment horizontal="center" vertical="center"/>
    </xf>
    <xf numFmtId="43" fontId="93" fillId="5" borderId="135" xfId="103" applyFont="1" applyFill="1" applyBorder="1" applyAlignment="1">
      <alignment horizontal="center" vertical="center"/>
    </xf>
    <xf numFmtId="43" fontId="95" fillId="5" borderId="10" xfId="103" applyFont="1" applyFill="1" applyBorder="1" applyAlignment="1">
      <alignment horizontal="center" vertical="center"/>
    </xf>
    <xf numFmtId="9" fontId="96" fillId="0" borderId="10" xfId="186" applyFont="1" applyBorder="1" applyAlignment="1">
      <alignment horizontal="center"/>
    </xf>
    <xf numFmtId="43" fontId="94" fillId="5" borderId="10" xfId="103" applyFont="1" applyFill="1" applyBorder="1" applyAlignment="1">
      <alignment horizontal="center" vertical="center"/>
    </xf>
    <xf numFmtId="178" fontId="94" fillId="5" borderId="136" xfId="103" applyNumberFormat="1" applyFont="1" applyFill="1" applyBorder="1" applyAlignment="1">
      <alignment horizontal="center" vertical="center"/>
    </xf>
    <xf numFmtId="178" fontId="93" fillId="5" borderId="135" xfId="103" applyNumberFormat="1" applyFont="1" applyFill="1" applyBorder="1" applyAlignment="1">
      <alignment horizontal="center" vertical="center"/>
    </xf>
    <xf numFmtId="199" fontId="93" fillId="5" borderId="10" xfId="189" applyNumberFormat="1" applyFont="1" applyFill="1" applyBorder="1" applyAlignment="1">
      <alignment horizontal="center" vertical="center"/>
    </xf>
    <xf numFmtId="182" fontId="94" fillId="5" borderId="136" xfId="1" applyNumberFormat="1" applyFont="1" applyFill="1" applyBorder="1" applyAlignment="1">
      <alignment horizontal="center" vertical="center"/>
    </xf>
    <xf numFmtId="43" fontId="94" fillId="5" borderId="136" xfId="1" applyNumberFormat="1" applyFont="1" applyFill="1" applyBorder="1" applyAlignment="1">
      <alignment horizontal="center" vertical="center"/>
    </xf>
    <xf numFmtId="43" fontId="93" fillId="5" borderId="135" xfId="1" applyNumberFormat="1" applyFont="1" applyFill="1" applyBorder="1" applyAlignment="1">
      <alignment horizontal="center" vertical="center"/>
    </xf>
    <xf numFmtId="165" fontId="95" fillId="5" borderId="10" xfId="1" applyFont="1" applyFill="1" applyBorder="1" applyAlignment="1">
      <alignment horizontal="center" vertical="center"/>
    </xf>
    <xf numFmtId="202" fontId="93" fillId="5" borderId="10" xfId="189" applyNumberFormat="1" applyFont="1" applyFill="1" applyBorder="1" applyAlignment="1">
      <alignment horizontal="center" vertical="center"/>
    </xf>
    <xf numFmtId="164" fontId="92" fillId="64" borderId="137" xfId="193" applyFont="1" applyBorder="1" applyAlignment="1">
      <alignment horizontal="left" vertical="center"/>
    </xf>
    <xf numFmtId="164" fontId="93" fillId="64" borderId="19" xfId="193" applyFont="1" applyBorder="1" applyAlignment="1">
      <alignment horizontal="right" vertical="center"/>
    </xf>
    <xf numFmtId="43" fontId="94" fillId="5" borderId="138" xfId="1" applyNumberFormat="1" applyFont="1" applyFill="1" applyBorder="1" applyAlignment="1">
      <alignment horizontal="center" vertical="center"/>
    </xf>
    <xf numFmtId="2" fontId="95" fillId="5" borderId="10" xfId="1" applyNumberFormat="1" applyFont="1" applyFill="1" applyBorder="1" applyAlignment="1">
      <alignment horizontal="right" vertical="center"/>
    </xf>
    <xf numFmtId="202" fontId="93" fillId="5" borderId="10" xfId="2" applyNumberFormat="1" applyFont="1" applyFill="1" applyBorder="1" applyAlignment="1">
      <alignment horizontal="center" vertical="center"/>
    </xf>
    <xf numFmtId="2" fontId="94" fillId="5" borderId="10" xfId="103" applyNumberFormat="1" applyFont="1" applyFill="1" applyBorder="1" applyAlignment="1">
      <alignment horizontal="right" vertical="center"/>
    </xf>
    <xf numFmtId="164" fontId="92" fillId="64" borderId="139" xfId="193" applyFont="1" applyBorder="1" applyAlignment="1">
      <alignment horizontal="left" vertical="center"/>
    </xf>
    <xf numFmtId="164" fontId="93" fillId="64" borderId="140" xfId="193" applyFont="1" applyBorder="1" applyAlignment="1">
      <alignment horizontal="right" vertical="center"/>
    </xf>
    <xf numFmtId="43" fontId="94" fillId="5" borderId="141" xfId="1" applyNumberFormat="1" applyFont="1" applyFill="1" applyBorder="1" applyAlignment="1">
      <alignment horizontal="center" vertical="center"/>
    </xf>
    <xf numFmtId="43" fontId="93" fillId="5" borderId="142" xfId="1" applyNumberFormat="1" applyFont="1" applyFill="1" applyBorder="1" applyAlignment="1">
      <alignment horizontal="center" vertical="center"/>
    </xf>
    <xf numFmtId="165" fontId="95" fillId="5" borderId="70" xfId="1" applyFont="1" applyFill="1" applyBorder="1" applyAlignment="1">
      <alignment horizontal="center" vertical="center"/>
    </xf>
    <xf numFmtId="203" fontId="97" fillId="5" borderId="70" xfId="2" applyNumberFormat="1" applyFont="1" applyFill="1" applyBorder="1" applyAlignment="1">
      <alignment horizontal="center" vertical="center"/>
    </xf>
    <xf numFmtId="43" fontId="94" fillId="5" borderId="70" xfId="103" applyFont="1" applyFill="1" applyBorder="1" applyAlignment="1">
      <alignment horizontal="center" vertical="center"/>
    </xf>
    <xf numFmtId="164" fontId="92" fillId="64" borderId="5" xfId="193" applyFont="1" applyBorder="1" applyAlignment="1">
      <alignment horizontal="left" vertical="center"/>
    </xf>
    <xf numFmtId="164" fontId="93" fillId="64" borderId="6" xfId="193" applyFont="1" applyBorder="1" applyAlignment="1">
      <alignment horizontal="right" vertical="center"/>
    </xf>
    <xf numFmtId="178" fontId="94" fillId="5" borderId="80" xfId="103" applyNumberFormat="1" applyFont="1" applyFill="1" applyBorder="1" applyAlignment="1">
      <alignment horizontal="center" vertical="center"/>
    </xf>
    <xf numFmtId="178" fontId="93" fillId="5" borderId="81" xfId="103" applyNumberFormat="1" applyFont="1" applyFill="1" applyBorder="1" applyAlignment="1">
      <alignment horizontal="center" vertical="center"/>
    </xf>
    <xf numFmtId="178" fontId="95" fillId="5" borderId="64" xfId="103" applyNumberFormat="1" applyFont="1" applyFill="1" applyBorder="1" applyAlignment="1">
      <alignment horizontal="center" vertical="center"/>
    </xf>
    <xf numFmtId="199" fontId="93" fillId="5" borderId="69" xfId="2" applyNumberFormat="1" applyFont="1" applyFill="1" applyBorder="1" applyAlignment="1">
      <alignment horizontal="center" vertical="center"/>
    </xf>
    <xf numFmtId="178" fontId="94" fillId="5" borderId="69" xfId="103" applyNumberFormat="1" applyFont="1" applyFill="1" applyBorder="1" applyAlignment="1">
      <alignment horizontal="center" vertical="center"/>
    </xf>
    <xf numFmtId="164" fontId="98" fillId="5" borderId="0" xfId="4" applyFont="1" applyFill="1" applyAlignment="1" applyProtection="1"/>
    <xf numFmtId="164" fontId="91" fillId="5" borderId="0" xfId="0" applyFont="1" applyFill="1"/>
    <xf numFmtId="204" fontId="0" fillId="5" borderId="0" xfId="1" applyNumberFormat="1" applyFont="1" applyFill="1"/>
    <xf numFmtId="165" fontId="36" fillId="5" borderId="0" xfId="1" applyFont="1" applyFill="1" applyBorder="1"/>
    <xf numFmtId="164" fontId="99" fillId="0" borderId="0" xfId="160"/>
    <xf numFmtId="164" fontId="60" fillId="5" borderId="0" xfId="0" applyFont="1" applyFill="1"/>
    <xf numFmtId="164" fontId="36" fillId="5" borderId="0" xfId="0" applyFont="1" applyFill="1"/>
    <xf numFmtId="164" fontId="64" fillId="5" borderId="0" xfId="0" applyFont="1" applyFill="1"/>
    <xf numFmtId="2" fontId="36" fillId="5" borderId="0" xfId="0" applyNumberFormat="1" applyFont="1" applyFill="1"/>
    <xf numFmtId="164" fontId="76" fillId="5" borderId="0" xfId="0" applyFont="1" applyFill="1"/>
    <xf numFmtId="182" fontId="41" fillId="5" borderId="0" xfId="1" applyNumberFormat="1" applyFont="1" applyFill="1"/>
    <xf numFmtId="178" fontId="90" fillId="5" borderId="143" xfId="103" applyNumberFormat="1" applyFont="1" applyFill="1" applyBorder="1" applyAlignment="1">
      <alignment horizontal="center" vertical="center"/>
    </xf>
    <xf numFmtId="178" fontId="89" fillId="5" borderId="144" xfId="103" applyNumberFormat="1" applyFont="1" applyFill="1" applyBorder="1" applyAlignment="1">
      <alignment horizontal="center" vertical="center"/>
    </xf>
    <xf numFmtId="178" fontId="89" fillId="5" borderId="145" xfId="103" applyNumberFormat="1" applyFont="1" applyFill="1" applyBorder="1" applyAlignment="1">
      <alignment horizontal="center" vertical="center"/>
    </xf>
    <xf numFmtId="199" fontId="93" fillId="5" borderId="73" xfId="189" applyNumberFormat="1" applyFont="1" applyFill="1" applyBorder="1" applyAlignment="1">
      <alignment horizontal="center" vertical="center"/>
    </xf>
    <xf numFmtId="178" fontId="95" fillId="5" borderId="134" xfId="189" applyNumberFormat="1" applyFont="1" applyFill="1" applyBorder="1" applyAlignment="1">
      <alignment horizontal="center" vertical="center"/>
    </xf>
    <xf numFmtId="178" fontId="94" fillId="5" borderId="132" xfId="189" applyNumberFormat="1" applyFont="1" applyFill="1" applyBorder="1" applyAlignment="1">
      <alignment horizontal="center" vertical="center"/>
    </xf>
    <xf numFmtId="199" fontId="93" fillId="5" borderId="72" xfId="189" applyNumberFormat="1" applyFont="1" applyFill="1" applyBorder="1" applyAlignment="1">
      <alignment horizontal="center" vertical="center"/>
    </xf>
    <xf numFmtId="178" fontId="95" fillId="5" borderId="135" xfId="189" applyNumberFormat="1" applyFont="1" applyFill="1" applyBorder="1" applyAlignment="1">
      <alignment horizontal="center" vertical="center"/>
    </xf>
    <xf numFmtId="178" fontId="94" fillId="5" borderId="34" xfId="189" applyNumberFormat="1" applyFont="1" applyFill="1" applyBorder="1" applyAlignment="1">
      <alignment horizontal="center" vertical="center"/>
    </xf>
    <xf numFmtId="43" fontId="95" fillId="5" borderId="135" xfId="189" applyNumberFormat="1" applyFont="1" applyFill="1" applyBorder="1" applyAlignment="1">
      <alignment horizontal="center" vertical="center"/>
    </xf>
    <xf numFmtId="43" fontId="94" fillId="5" borderId="34" xfId="189" applyNumberFormat="1" applyFont="1" applyFill="1" applyBorder="1" applyAlignment="1">
      <alignment horizontal="center" vertical="center"/>
    </xf>
    <xf numFmtId="202" fontId="93" fillId="5" borderId="72" xfId="189" applyNumberFormat="1" applyFont="1" applyFill="1" applyBorder="1" applyAlignment="1">
      <alignment horizontal="center" vertical="center"/>
    </xf>
    <xf numFmtId="202" fontId="93" fillId="5" borderId="73" xfId="189" applyNumberFormat="1" applyFont="1" applyFill="1" applyBorder="1" applyAlignment="1">
      <alignment horizontal="center" vertical="center"/>
    </xf>
    <xf numFmtId="202" fontId="97" fillId="5" borderId="79" xfId="189" applyNumberFormat="1" applyFont="1" applyFill="1" applyBorder="1" applyAlignment="1">
      <alignment horizontal="center" vertical="center"/>
    </xf>
    <xf numFmtId="43" fontId="95" fillId="5" borderId="142" xfId="189" applyNumberFormat="1" applyFont="1" applyFill="1" applyBorder="1" applyAlignment="1">
      <alignment horizontal="center" vertical="center"/>
    </xf>
    <xf numFmtId="43" fontId="94" fillId="5" borderId="139" xfId="189" applyNumberFormat="1" applyFont="1" applyFill="1" applyBorder="1" applyAlignment="1">
      <alignment horizontal="center" vertical="center"/>
    </xf>
    <xf numFmtId="202" fontId="93" fillId="5" borderId="79" xfId="189" applyNumberFormat="1" applyFont="1" applyFill="1" applyBorder="1" applyAlignment="1">
      <alignment horizontal="center" vertical="center"/>
    </xf>
    <xf numFmtId="43" fontId="93" fillId="5" borderId="142" xfId="103" applyFont="1" applyFill="1" applyBorder="1" applyAlignment="1">
      <alignment horizontal="center" vertical="center"/>
    </xf>
    <xf numFmtId="165" fontId="94" fillId="5" borderId="70" xfId="1" applyFont="1" applyFill="1" applyBorder="1" applyAlignment="1">
      <alignment horizontal="center" vertical="center"/>
    </xf>
    <xf numFmtId="199" fontId="93" fillId="5" borderId="146" xfId="189" applyNumberFormat="1" applyFont="1" applyFill="1" applyBorder="1" applyAlignment="1">
      <alignment horizontal="center" vertical="center"/>
    </xf>
    <xf numFmtId="178" fontId="95" fillId="5" borderId="81" xfId="189" applyNumberFormat="1" applyFont="1" applyFill="1" applyBorder="1" applyAlignment="1">
      <alignment horizontal="center" vertical="center"/>
    </xf>
    <xf numFmtId="178" fontId="94" fillId="5" borderId="100" xfId="189" applyNumberFormat="1" applyFont="1" applyFill="1" applyBorder="1" applyAlignment="1">
      <alignment horizontal="center" vertical="center"/>
    </xf>
    <xf numFmtId="199" fontId="93" fillId="5" borderId="63" xfId="189" applyNumberFormat="1" applyFont="1" applyFill="1" applyBorder="1" applyAlignment="1">
      <alignment horizontal="center" vertical="center"/>
    </xf>
    <xf numFmtId="1" fontId="100" fillId="5" borderId="0" xfId="0" applyNumberFormat="1" applyFont="1" applyFill="1"/>
    <xf numFmtId="10" fontId="26" fillId="5" borderId="0" xfId="0" applyNumberFormat="1" applyFont="1" applyFill="1"/>
    <xf numFmtId="178" fontId="89" fillId="5" borderId="97" xfId="103" applyNumberFormat="1" applyFont="1" applyFill="1" applyBorder="1" applyAlignment="1">
      <alignment horizontal="center" vertical="center"/>
    </xf>
    <xf numFmtId="199" fontId="93" fillId="5" borderId="73" xfId="192" applyNumberFormat="1" applyFont="1" applyFill="1" applyBorder="1" applyAlignment="1">
      <alignment horizontal="center" vertical="center"/>
    </xf>
    <xf numFmtId="178" fontId="95" fillId="5" borderId="134" xfId="103" applyNumberFormat="1" applyFont="1" applyFill="1" applyBorder="1" applyAlignment="1">
      <alignment horizontal="center" vertical="center"/>
    </xf>
    <xf numFmtId="178" fontId="94" fillId="5" borderId="132" xfId="103" applyNumberFormat="1" applyFont="1" applyFill="1" applyBorder="1" applyAlignment="1">
      <alignment horizontal="center" vertical="center"/>
    </xf>
    <xf numFmtId="199" fontId="93" fillId="5" borderId="77" xfId="189" applyNumberFormat="1" applyFont="1" applyFill="1" applyBorder="1" applyAlignment="1">
      <alignment horizontal="center" vertical="center"/>
    </xf>
    <xf numFmtId="178" fontId="95" fillId="5" borderId="135" xfId="103" applyNumberFormat="1" applyFont="1" applyFill="1" applyBorder="1" applyAlignment="1">
      <alignment horizontal="center" vertical="center"/>
    </xf>
    <xf numFmtId="178" fontId="94" fillId="5" borderId="34" xfId="103" applyNumberFormat="1" applyFont="1" applyFill="1" applyBorder="1" applyAlignment="1">
      <alignment horizontal="center" vertical="center"/>
    </xf>
    <xf numFmtId="43" fontId="95" fillId="5" borderId="135" xfId="103" applyFont="1" applyFill="1" applyBorder="1" applyAlignment="1">
      <alignment horizontal="center" vertical="center"/>
    </xf>
    <xf numFmtId="43" fontId="94" fillId="5" borderId="34" xfId="103" applyFont="1" applyFill="1" applyBorder="1" applyAlignment="1">
      <alignment horizontal="center" vertical="center"/>
    </xf>
    <xf numFmtId="165" fontId="95" fillId="5" borderId="11" xfId="1" applyFont="1" applyFill="1" applyBorder="1" applyAlignment="1">
      <alignment horizontal="center" vertical="center"/>
    </xf>
    <xf numFmtId="202" fontId="97" fillId="5" borderId="70" xfId="189" applyNumberFormat="1" applyFont="1" applyFill="1" applyBorder="1" applyAlignment="1">
      <alignment horizontal="center" vertical="center"/>
    </xf>
    <xf numFmtId="43" fontId="95" fillId="5" borderId="142" xfId="103" applyFont="1" applyFill="1" applyBorder="1" applyAlignment="1">
      <alignment horizontal="center" vertical="center"/>
    </xf>
    <xf numFmtId="43" fontId="94" fillId="5" borderId="139" xfId="103" applyFont="1" applyFill="1" applyBorder="1" applyAlignment="1">
      <alignment horizontal="center" vertical="center"/>
    </xf>
    <xf numFmtId="199" fontId="93" fillId="5" borderId="79" xfId="189" applyNumberFormat="1" applyFont="1" applyFill="1" applyBorder="1" applyAlignment="1">
      <alignment horizontal="center" vertical="center"/>
    </xf>
    <xf numFmtId="182" fontId="95" fillId="5" borderId="69" xfId="1" applyNumberFormat="1" applyFont="1" applyFill="1" applyBorder="1" applyAlignment="1">
      <alignment horizontal="center" vertical="center"/>
    </xf>
    <xf numFmtId="199" fontId="93" fillId="5" borderId="69" xfId="189" applyNumberFormat="1" applyFont="1" applyFill="1" applyBorder="1" applyAlignment="1">
      <alignment horizontal="center" vertical="center"/>
    </xf>
    <xf numFmtId="178" fontId="95" fillId="35" borderId="81" xfId="103" applyNumberFormat="1" applyFont="1" applyFill="1" applyBorder="1" applyAlignment="1">
      <alignment horizontal="center" vertical="center"/>
    </xf>
    <xf numFmtId="178" fontId="94" fillId="35" borderId="100" xfId="103" applyNumberFormat="1" applyFont="1" applyFill="1" applyBorder="1" applyAlignment="1">
      <alignment horizontal="center" vertical="center"/>
    </xf>
    <xf numFmtId="1" fontId="101" fillId="0" borderId="0" xfId="193" applyNumberFormat="1" applyFont="1" applyFill="1" applyBorder="1" applyAlignment="1">
      <alignment vertical="center"/>
    </xf>
    <xf numFmtId="182" fontId="36" fillId="5" borderId="0" xfId="1" applyNumberFormat="1" applyFont="1" applyFill="1"/>
    <xf numFmtId="1" fontId="36" fillId="5" borderId="0" xfId="1" applyNumberFormat="1" applyFont="1" applyFill="1"/>
    <xf numFmtId="164" fontId="76" fillId="35" borderId="0" xfId="0" applyFont="1" applyFill="1"/>
    <xf numFmtId="164" fontId="26" fillId="35" borderId="0" xfId="0" applyFont="1" applyFill="1"/>
    <xf numFmtId="1" fontId="26" fillId="35" borderId="0" xfId="0" applyNumberFormat="1" applyFont="1" applyFill="1"/>
    <xf numFmtId="164" fontId="102" fillId="35" borderId="0" xfId="0" applyFont="1" applyFill="1"/>
    <xf numFmtId="164" fontId="77" fillId="35" borderId="0" xfId="0" applyFont="1" applyFill="1"/>
    <xf numFmtId="164" fontId="103" fillId="35" borderId="0" xfId="0" applyFont="1" applyFill="1"/>
    <xf numFmtId="164" fontId="77" fillId="5" borderId="0" xfId="0" applyFont="1" applyFill="1"/>
    <xf numFmtId="164" fontId="103" fillId="5" borderId="0" xfId="0" applyFont="1" applyFill="1"/>
    <xf numFmtId="164" fontId="26" fillId="35" borderId="0" xfId="0" applyFont="1" applyFill="1" applyAlignment="1">
      <alignment horizontal="center"/>
    </xf>
    <xf numFmtId="3" fontId="102" fillId="35" borderId="0" xfId="0" applyNumberFormat="1" applyFont="1" applyFill="1"/>
    <xf numFmtId="3" fontId="103" fillId="35" borderId="0" xfId="0" applyNumberFormat="1" applyFont="1" applyFill="1"/>
    <xf numFmtId="4" fontId="103" fillId="5" borderId="0" xfId="0" applyNumberFormat="1" applyFont="1" applyFill="1"/>
    <xf numFmtId="1" fontId="41" fillId="5" borderId="0" xfId="0" applyNumberFormat="1" applyFont="1" applyFill="1"/>
    <xf numFmtId="1" fontId="26" fillId="5" borderId="0" xfId="0" applyNumberFormat="1" applyFont="1" applyFill="1"/>
    <xf numFmtId="164" fontId="0" fillId="0" borderId="92" xfId="0" applyBorder="1"/>
    <xf numFmtId="164" fontId="0" fillId="0" borderId="84" xfId="0" applyBorder="1"/>
    <xf numFmtId="164" fontId="0" fillId="0" borderId="120" xfId="0" applyBorder="1"/>
    <xf numFmtId="164" fontId="0" fillId="0" borderId="58" xfId="0" applyBorder="1"/>
    <xf numFmtId="205" fontId="0" fillId="0" borderId="1" xfId="0" applyNumberFormat="1" applyBorder="1"/>
    <xf numFmtId="164" fontId="1" fillId="0" borderId="0" xfId="0" applyFont="1"/>
    <xf numFmtId="164" fontId="0" fillId="0" borderId="94" xfId="0" applyBorder="1"/>
    <xf numFmtId="164" fontId="0" fillId="0" borderId="63" xfId="0" applyBorder="1"/>
    <xf numFmtId="206" fontId="0" fillId="0" borderId="1" xfId="0" applyNumberFormat="1" applyBorder="1"/>
    <xf numFmtId="164" fontId="0" fillId="0" borderId="128" xfId="0" applyBorder="1"/>
    <xf numFmtId="164" fontId="0" fillId="0" borderId="148" xfId="0" applyBorder="1"/>
    <xf numFmtId="164" fontId="0" fillId="0" borderId="129" xfId="0" applyBorder="1"/>
    <xf numFmtId="164" fontId="54" fillId="31" borderId="1" xfId="0" quotePrefix="1" applyFont="1" applyFill="1" applyBorder="1" applyAlignment="1">
      <alignment horizontal="center"/>
    </xf>
    <xf numFmtId="164" fontId="57" fillId="31" borderId="1" xfId="0" quotePrefix="1" applyFont="1" applyFill="1" applyBorder="1" applyAlignment="1">
      <alignment horizontal="center"/>
    </xf>
    <xf numFmtId="165" fontId="60" fillId="5" borderId="1" xfId="1" quotePrefix="1" applyFont="1" applyFill="1" applyBorder="1" applyAlignment="1">
      <alignment horizontal="right"/>
    </xf>
    <xf numFmtId="164" fontId="56" fillId="0" borderId="0" xfId="160" quotePrefix="1" applyFont="1"/>
    <xf numFmtId="164" fontId="0" fillId="58" borderId="1" xfId="0" quotePrefix="1" applyFill="1" applyBorder="1" applyAlignment="1">
      <alignment horizontal="center"/>
    </xf>
    <xf numFmtId="2" fontId="0" fillId="58" borderId="1" xfId="0" quotePrefix="1" applyNumberFormat="1" applyFill="1" applyBorder="1" applyAlignment="1">
      <alignment horizontal="center"/>
    </xf>
    <xf numFmtId="164" fontId="164" fillId="0" borderId="0" xfId="0" applyFont="1"/>
    <xf numFmtId="164" fontId="164" fillId="0" borderId="36" xfId="0" quotePrefix="1" applyFont="1" applyBorder="1" applyAlignment="1">
      <alignment horizontal="center"/>
    </xf>
    <xf numFmtId="164" fontId="164" fillId="0" borderId="35" xfId="0" applyFont="1" applyBorder="1" applyAlignment="1">
      <alignment horizontal="center" vertical="center"/>
    </xf>
    <xf numFmtId="164" fontId="23" fillId="98" borderId="45" xfId="0" applyFont="1" applyFill="1" applyBorder="1" applyAlignment="1">
      <alignment horizontal="center"/>
    </xf>
    <xf numFmtId="164" fontId="23" fillId="98" borderId="0" xfId="0" applyFont="1" applyFill="1"/>
    <xf numFmtId="164" fontId="23" fillId="98" borderId="0" xfId="0" applyFont="1" applyFill="1" applyAlignment="1">
      <alignment horizontal="center"/>
    </xf>
    <xf numFmtId="164" fontId="26" fillId="98" borderId="40" xfId="0" applyFont="1" applyFill="1" applyBorder="1"/>
    <xf numFmtId="164" fontId="26" fillId="98" borderId="45" xfId="0" applyFont="1" applyFill="1" applyBorder="1" applyAlignment="1">
      <alignment horizontal="center"/>
    </xf>
    <xf numFmtId="164" fontId="26" fillId="98" borderId="0" xfId="0" applyFont="1" applyFill="1"/>
    <xf numFmtId="164" fontId="26" fillId="98" borderId="0" xfId="0" applyFont="1" applyFill="1" applyAlignment="1">
      <alignment horizontal="center"/>
    </xf>
    <xf numFmtId="164" fontId="60" fillId="0" borderId="0" xfId="0" applyFont="1"/>
    <xf numFmtId="165" fontId="60" fillId="0" borderId="0" xfId="0" applyNumberFormat="1" applyFont="1"/>
    <xf numFmtId="0" fontId="60" fillId="0" borderId="0" xfId="0" applyNumberFormat="1" applyFont="1"/>
    <xf numFmtId="2" fontId="60" fillId="0" borderId="0" xfId="0" applyNumberFormat="1" applyFont="1"/>
    <xf numFmtId="9" fontId="60" fillId="0" borderId="0" xfId="0" applyNumberFormat="1" applyFont="1"/>
    <xf numFmtId="182" fontId="60" fillId="0" borderId="0" xfId="0" applyNumberFormat="1" applyFont="1"/>
    <xf numFmtId="207" fontId="60" fillId="0" borderId="0" xfId="0" applyNumberFormat="1" applyFont="1"/>
    <xf numFmtId="10" fontId="60" fillId="0" borderId="0" xfId="0" applyNumberFormat="1" applyFont="1"/>
    <xf numFmtId="9" fontId="60" fillId="12" borderId="0" xfId="0" applyNumberFormat="1" applyFont="1" applyFill="1"/>
    <xf numFmtId="164" fontId="60" fillId="30" borderId="0" xfId="0" applyFont="1" applyFill="1"/>
    <xf numFmtId="9" fontId="168" fillId="0" borderId="0" xfId="0" applyNumberFormat="1" applyFont="1"/>
    <xf numFmtId="205" fontId="0" fillId="0" borderId="0" xfId="0" applyNumberFormat="1"/>
    <xf numFmtId="164" fontId="60" fillId="4" borderId="0" xfId="0" applyFont="1" applyFill="1"/>
    <xf numFmtId="164" fontId="60" fillId="4" borderId="0" xfId="0" quotePrefix="1" applyFont="1" applyFill="1"/>
    <xf numFmtId="164" fontId="60" fillId="4" borderId="0" xfId="0" applyFont="1" applyFill="1" applyAlignment="1">
      <alignment horizontal="left"/>
    </xf>
    <xf numFmtId="164" fontId="60" fillId="4" borderId="0" xfId="0" applyFont="1" applyFill="1" applyAlignment="1">
      <alignment horizontal="center"/>
    </xf>
    <xf numFmtId="164" fontId="0" fillId="0" borderId="167" xfId="0" applyBorder="1"/>
    <xf numFmtId="164" fontId="169" fillId="4" borderId="0" xfId="0" quotePrefix="1" applyFont="1" applyFill="1"/>
    <xf numFmtId="164" fontId="0" fillId="0" borderId="169" xfId="0" applyBorder="1"/>
    <xf numFmtId="164" fontId="23" fillId="98" borderId="170" xfId="0" applyFont="1" applyFill="1" applyBorder="1" applyAlignment="1">
      <alignment horizontal="center"/>
    </xf>
    <xf numFmtId="178" fontId="55" fillId="0" borderId="169" xfId="106" applyNumberFormat="1" applyFont="1" applyFill="1" applyBorder="1" applyAlignment="1">
      <alignment horizontal="right" vertical="center" indent="1"/>
    </xf>
    <xf numFmtId="178" fontId="170" fillId="5" borderId="1" xfId="0" applyNumberFormat="1" applyFont="1" applyFill="1" applyBorder="1"/>
    <xf numFmtId="182" fontId="171" fillId="0" borderId="106" xfId="1" applyNumberFormat="1" applyFont="1" applyFill="1" applyBorder="1" applyAlignment="1">
      <alignment horizontal="right"/>
    </xf>
    <xf numFmtId="182" fontId="171" fillId="0" borderId="59" xfId="1" applyNumberFormat="1" applyFont="1" applyFill="1" applyBorder="1" applyAlignment="1">
      <alignment horizontal="right"/>
    </xf>
    <xf numFmtId="182" fontId="171" fillId="5" borderId="59" xfId="1" applyNumberFormat="1" applyFont="1" applyFill="1" applyBorder="1" applyAlignment="1">
      <alignment horizontal="center"/>
    </xf>
    <xf numFmtId="164" fontId="87" fillId="5" borderId="130" xfId="103" quotePrefix="1" applyNumberFormat="1" applyFont="1" applyFill="1" applyBorder="1" applyAlignment="1">
      <alignment horizontal="center" vertical="center"/>
    </xf>
    <xf numFmtId="164" fontId="26" fillId="98" borderId="164" xfId="0" applyFont="1" applyFill="1" applyBorder="1" applyAlignment="1">
      <alignment horizontal="center"/>
    </xf>
    <xf numFmtId="164" fontId="26" fillId="98" borderId="0" xfId="0" applyFont="1" applyFill="1" applyAlignment="1">
      <alignment horizontal="center"/>
    </xf>
    <xf numFmtId="164" fontId="164" fillId="0" borderId="0" xfId="0" applyFont="1" applyAlignment="1">
      <alignment horizontal="left"/>
    </xf>
    <xf numFmtId="164" fontId="164" fillId="0" borderId="35" xfId="0" applyFont="1" applyBorder="1" applyAlignment="1">
      <alignment horizontal="center"/>
    </xf>
    <xf numFmtId="164" fontId="164" fillId="0" borderId="36" xfId="0" applyFont="1" applyBorder="1" applyAlignment="1">
      <alignment horizontal="center"/>
    </xf>
    <xf numFmtId="164" fontId="23" fillId="98" borderId="40" xfId="0" applyFont="1" applyFill="1" applyBorder="1" applyAlignment="1">
      <alignment horizontal="center"/>
    </xf>
    <xf numFmtId="164" fontId="23" fillId="98" borderId="147" xfId="0" applyFont="1" applyFill="1" applyBorder="1" applyAlignment="1">
      <alignment horizontal="center"/>
    </xf>
    <xf numFmtId="164" fontId="0" fillId="0" borderId="165" xfId="0" applyBorder="1" applyAlignment="1">
      <alignment horizontal="center"/>
    </xf>
    <xf numFmtId="164" fontId="0" fillId="0" borderId="166" xfId="0" applyBorder="1" applyAlignment="1">
      <alignment horizontal="center"/>
    </xf>
    <xf numFmtId="164" fontId="0" fillId="0" borderId="168" xfId="0" applyBorder="1" applyAlignment="1">
      <alignment horizontal="center"/>
    </xf>
    <xf numFmtId="164" fontId="165" fillId="98" borderId="164" xfId="0" applyFont="1" applyFill="1" applyBorder="1" applyAlignment="1">
      <alignment horizontal="center"/>
    </xf>
    <xf numFmtId="164" fontId="165" fillId="98" borderId="0" xfId="0" applyFont="1" applyFill="1" applyAlignment="1">
      <alignment horizontal="center"/>
    </xf>
    <xf numFmtId="164" fontId="86" fillId="64" borderId="95" xfId="193" applyFont="1" applyBorder="1">
      <alignment horizontal="center" vertical="center"/>
    </xf>
    <xf numFmtId="164" fontId="86" fillId="64" borderId="86" xfId="193" applyFont="1" applyBorder="1">
      <alignment horizontal="center" vertical="center"/>
    </xf>
    <xf numFmtId="164" fontId="86" fillId="64" borderId="88" xfId="193" applyFont="1" applyBorder="1">
      <alignment horizontal="center" vertical="center"/>
    </xf>
    <xf numFmtId="164" fontId="85" fillId="63" borderId="92" xfId="193" applyFont="1" applyFill="1" applyBorder="1">
      <alignment horizontal="center" vertical="center"/>
    </xf>
    <xf numFmtId="164" fontId="85" fillId="63" borderId="128" xfId="193" applyFont="1" applyFill="1" applyBorder="1">
      <alignment horizontal="center" vertical="center"/>
    </xf>
    <xf numFmtId="164" fontId="85" fillId="63" borderId="94" xfId="193" applyFont="1" applyFill="1" applyBorder="1">
      <alignment horizontal="center" vertical="center"/>
    </xf>
    <xf numFmtId="164" fontId="85" fillId="63" borderId="129" xfId="193" applyFont="1" applyFill="1" applyBorder="1">
      <alignment horizontal="center" vertical="center"/>
    </xf>
    <xf numFmtId="164" fontId="3" fillId="62" borderId="8" xfId="164" applyFont="1" applyFill="1" applyBorder="1" applyAlignment="1">
      <alignment horizontal="center" vertical="center" wrapText="1"/>
    </xf>
    <xf numFmtId="164" fontId="3" fillId="62" borderId="9" xfId="164" applyFont="1" applyFill="1" applyBorder="1" applyAlignment="1">
      <alignment horizontal="center" vertical="center"/>
    </xf>
    <xf numFmtId="164" fontId="3" fillId="62" borderId="15" xfId="164" applyFont="1" applyFill="1" applyBorder="1" applyAlignment="1">
      <alignment horizontal="center" vertical="center"/>
    </xf>
    <xf numFmtId="164" fontId="3" fillId="62" borderId="9" xfId="164" applyFont="1" applyFill="1" applyBorder="1" applyAlignment="1">
      <alignment horizontal="center" vertical="center" wrapText="1"/>
    </xf>
    <xf numFmtId="164" fontId="3" fillId="62" borderId="15" xfId="164" applyFont="1" applyFill="1" applyBorder="1" applyAlignment="1">
      <alignment horizontal="center" vertical="center" wrapText="1"/>
    </xf>
    <xf numFmtId="43" fontId="0" fillId="5" borderId="8" xfId="0" applyNumberFormat="1" applyFill="1" applyBorder="1" applyAlignment="1">
      <alignment horizontal="center" vertical="center"/>
    </xf>
    <xf numFmtId="43" fontId="0" fillId="5" borderId="9" xfId="0" applyNumberFormat="1" applyFill="1" applyBorder="1" applyAlignment="1">
      <alignment horizontal="center" vertical="center"/>
    </xf>
    <xf numFmtId="43" fontId="0" fillId="5" borderId="15" xfId="0" applyNumberFormat="1" applyFill="1" applyBorder="1" applyAlignment="1">
      <alignment horizontal="center" vertical="center"/>
    </xf>
    <xf numFmtId="164" fontId="62" fillId="5" borderId="2" xfId="0" applyFont="1" applyFill="1" applyBorder="1" applyAlignment="1">
      <alignment horizontal="center" vertical="center" wrapText="1"/>
    </xf>
    <xf numFmtId="164" fontId="62" fillId="5" borderId="4" xfId="0" applyFont="1" applyFill="1" applyBorder="1" applyAlignment="1">
      <alignment horizontal="center" vertical="center" wrapText="1"/>
    </xf>
    <xf numFmtId="164" fontId="62" fillId="5" borderId="59" xfId="0" applyFont="1" applyFill="1" applyBorder="1" applyAlignment="1">
      <alignment horizontal="center" vertical="center" wrapText="1"/>
    </xf>
    <xf numFmtId="164" fontId="62" fillId="5" borderId="60" xfId="0" applyFont="1" applyFill="1" applyBorder="1" applyAlignment="1">
      <alignment horizontal="center" vertical="center" wrapText="1"/>
    </xf>
    <xf numFmtId="164" fontId="62" fillId="5" borderId="5" xfId="0" applyFont="1" applyFill="1" applyBorder="1" applyAlignment="1">
      <alignment horizontal="center" vertical="center" wrapText="1"/>
    </xf>
    <xf numFmtId="164" fontId="62" fillId="5" borderId="7" xfId="0" applyFont="1" applyFill="1" applyBorder="1" applyAlignment="1">
      <alignment horizontal="center" vertical="center" wrapText="1"/>
    </xf>
    <xf numFmtId="164" fontId="58" fillId="5" borderId="2" xfId="0" applyFont="1" applyFill="1" applyBorder="1" applyAlignment="1">
      <alignment horizontal="center" vertical="center" wrapText="1"/>
    </xf>
    <xf numFmtId="164" fontId="58" fillId="5" borderId="3" xfId="0" applyFont="1" applyFill="1" applyBorder="1" applyAlignment="1">
      <alignment horizontal="center" vertical="center" wrapText="1"/>
    </xf>
    <xf numFmtId="164" fontId="58" fillId="5" borderId="4" xfId="0" applyFont="1" applyFill="1" applyBorder="1" applyAlignment="1">
      <alignment horizontal="center" vertical="center" wrapText="1"/>
    </xf>
    <xf numFmtId="164" fontId="58" fillId="5" borderId="59" xfId="0" applyFont="1" applyFill="1" applyBorder="1" applyAlignment="1">
      <alignment horizontal="center" vertical="center" wrapText="1"/>
    </xf>
    <xf numFmtId="164" fontId="58" fillId="5" borderId="0" xfId="0" applyFont="1" applyFill="1" applyAlignment="1">
      <alignment horizontal="center" vertical="center" wrapText="1"/>
    </xf>
    <xf numFmtId="164" fontId="58" fillId="5" borderId="60" xfId="0" applyFont="1" applyFill="1" applyBorder="1" applyAlignment="1">
      <alignment horizontal="center" vertical="center" wrapText="1"/>
    </xf>
    <xf numFmtId="164" fontId="58" fillId="5" borderId="5" xfId="0" applyFont="1" applyFill="1" applyBorder="1" applyAlignment="1">
      <alignment horizontal="center" vertical="center" wrapText="1"/>
    </xf>
    <xf numFmtId="164" fontId="58" fillId="5" borderId="6" xfId="0" applyFont="1" applyFill="1" applyBorder="1" applyAlignment="1">
      <alignment horizontal="center" vertical="center" wrapText="1"/>
    </xf>
    <xf numFmtId="164" fontId="58" fillId="5" borderId="7" xfId="0" applyFont="1" applyFill="1" applyBorder="1" applyAlignment="1">
      <alignment horizontal="center" vertical="center" wrapText="1"/>
    </xf>
    <xf numFmtId="164" fontId="78" fillId="5" borderId="35" xfId="0" applyFont="1" applyFill="1" applyBorder="1" applyAlignment="1">
      <alignment horizontal="left"/>
    </xf>
    <xf numFmtId="164" fontId="78" fillId="5" borderId="36" xfId="0" applyFont="1" applyFill="1" applyBorder="1" applyAlignment="1">
      <alignment horizontal="left"/>
    </xf>
    <xf numFmtId="164" fontId="78" fillId="35" borderId="35" xfId="0" applyFont="1" applyFill="1" applyBorder="1" applyAlignment="1">
      <alignment horizontal="left"/>
    </xf>
    <xf numFmtId="164" fontId="78" fillId="35" borderId="36" xfId="0" applyFont="1" applyFill="1" applyBorder="1" applyAlignment="1">
      <alignment horizontal="left"/>
    </xf>
    <xf numFmtId="164" fontId="79" fillId="5" borderId="35" xfId="0" applyFont="1" applyFill="1" applyBorder="1" applyAlignment="1">
      <alignment horizontal="left"/>
    </xf>
    <xf numFmtId="164" fontId="79" fillId="5" borderId="36" xfId="0" applyFont="1" applyFill="1" applyBorder="1" applyAlignment="1">
      <alignment horizontal="left"/>
    </xf>
    <xf numFmtId="164" fontId="1" fillId="5" borderId="35" xfId="0" applyFont="1" applyFill="1" applyBorder="1" applyAlignment="1">
      <alignment horizontal="center"/>
    </xf>
    <xf numFmtId="164" fontId="1" fillId="5" borderId="36" xfId="0" applyFont="1" applyFill="1" applyBorder="1" applyAlignment="1">
      <alignment horizontal="center"/>
    </xf>
    <xf numFmtId="164" fontId="61" fillId="5" borderId="8" xfId="0" applyFont="1" applyFill="1" applyBorder="1" applyAlignment="1">
      <alignment horizontal="center" vertical="center"/>
    </xf>
    <xf numFmtId="164" fontId="61" fillId="5" borderId="9" xfId="0" applyFont="1" applyFill="1" applyBorder="1" applyAlignment="1">
      <alignment horizontal="center" vertical="center"/>
    </xf>
    <xf numFmtId="164" fontId="61" fillId="5" borderId="15" xfId="0" applyFont="1" applyFill="1" applyBorder="1" applyAlignment="1">
      <alignment horizontal="center" vertical="center"/>
    </xf>
    <xf numFmtId="164" fontId="63" fillId="5" borderId="65" xfId="0" applyFont="1" applyFill="1" applyBorder="1" applyAlignment="1">
      <alignment horizontal="center" vertical="center"/>
    </xf>
    <xf numFmtId="164" fontId="63" fillId="5" borderId="67" xfId="0" applyFont="1" applyFill="1" applyBorder="1" applyAlignment="1">
      <alignment horizontal="center" vertical="center"/>
    </xf>
    <xf numFmtId="164" fontId="63" fillId="5" borderId="80" xfId="0" applyFont="1" applyFill="1" applyBorder="1" applyAlignment="1">
      <alignment horizontal="center" vertical="center"/>
    </xf>
    <xf numFmtId="164" fontId="58" fillId="5" borderId="8" xfId="0" applyFont="1" applyFill="1" applyBorder="1" applyAlignment="1">
      <alignment horizontal="center" vertical="center" wrapText="1"/>
    </xf>
    <xf numFmtId="164" fontId="58" fillId="5" borderId="9" xfId="0" applyFont="1" applyFill="1" applyBorder="1" applyAlignment="1">
      <alignment horizontal="center" vertical="center" wrapText="1"/>
    </xf>
    <xf numFmtId="164" fontId="58" fillId="5" borderId="15" xfId="0" applyFont="1" applyFill="1" applyBorder="1" applyAlignment="1">
      <alignment horizontal="center" vertical="center" wrapText="1"/>
    </xf>
    <xf numFmtId="164" fontId="63" fillId="5" borderId="8" xfId="0" applyFont="1" applyFill="1" applyBorder="1" applyAlignment="1">
      <alignment horizontal="center" vertical="center"/>
    </xf>
    <xf numFmtId="164" fontId="63" fillId="5" borderId="9" xfId="0" applyFont="1" applyFill="1" applyBorder="1" applyAlignment="1">
      <alignment horizontal="center" vertical="center"/>
    </xf>
    <xf numFmtId="164" fontId="63" fillId="5" borderId="15" xfId="0" applyFont="1" applyFill="1" applyBorder="1" applyAlignment="1">
      <alignment horizontal="center" vertical="center"/>
    </xf>
    <xf numFmtId="164" fontId="58" fillId="5" borderId="65" xfId="0" applyFont="1" applyFill="1" applyBorder="1" applyAlignment="1">
      <alignment horizontal="center" vertical="center" wrapText="1"/>
    </xf>
    <xf numFmtId="164" fontId="58" fillId="5" borderId="67" xfId="0" applyFont="1" applyFill="1" applyBorder="1" applyAlignment="1">
      <alignment horizontal="center" vertical="center" wrapText="1"/>
    </xf>
    <xf numFmtId="164" fontId="58" fillId="5" borderId="80" xfId="0" applyFont="1" applyFill="1" applyBorder="1" applyAlignment="1">
      <alignment horizontal="center" vertical="center" wrapText="1"/>
    </xf>
    <xf numFmtId="164" fontId="63" fillId="5" borderId="1" xfId="0" applyFont="1" applyFill="1" applyBorder="1" applyAlignment="1">
      <alignment horizontal="center" vertical="center"/>
    </xf>
    <xf numFmtId="164" fontId="0" fillId="5" borderId="82" xfId="0" applyFill="1" applyBorder="1" applyAlignment="1">
      <alignment horizontal="center"/>
    </xf>
    <xf numFmtId="164" fontId="0" fillId="5" borderId="83" xfId="0" applyFill="1" applyBorder="1" applyAlignment="1">
      <alignment horizontal="center"/>
    </xf>
    <xf numFmtId="1" fontId="57" fillId="41" borderId="35" xfId="0" applyNumberFormat="1" applyFont="1" applyFill="1" applyBorder="1" applyAlignment="1">
      <alignment horizontal="center"/>
    </xf>
    <xf numFmtId="1" fontId="57" fillId="41" borderId="36" xfId="0" applyNumberFormat="1" applyFont="1" applyFill="1" applyBorder="1" applyAlignment="1">
      <alignment horizontal="center"/>
    </xf>
    <xf numFmtId="164" fontId="58" fillId="5" borderId="66" xfId="0" applyFont="1" applyFill="1" applyBorder="1" applyAlignment="1">
      <alignment horizontal="center" vertical="center" wrapText="1"/>
    </xf>
    <xf numFmtId="164" fontId="58" fillId="5" borderId="68" xfId="0" applyFont="1" applyFill="1" applyBorder="1" applyAlignment="1">
      <alignment horizontal="center" vertical="center" wrapText="1"/>
    </xf>
    <xf numFmtId="164" fontId="58" fillId="5" borderId="81" xfId="0" applyFont="1" applyFill="1" applyBorder="1" applyAlignment="1">
      <alignment horizontal="center" vertical="center" wrapText="1"/>
    </xf>
    <xf numFmtId="164" fontId="58" fillId="5" borderId="34" xfId="0" applyFont="1" applyFill="1" applyBorder="1" applyAlignment="1">
      <alignment horizontal="left"/>
    </xf>
    <xf numFmtId="164" fontId="58" fillId="5" borderId="20" xfId="0" applyFont="1" applyFill="1" applyBorder="1" applyAlignment="1">
      <alignment horizontal="left"/>
    </xf>
    <xf numFmtId="164" fontId="58" fillId="5" borderId="102" xfId="0" applyFont="1" applyFill="1" applyBorder="1" applyAlignment="1">
      <alignment horizontal="left"/>
    </xf>
    <xf numFmtId="164" fontId="58" fillId="5" borderId="21" xfId="0" applyFont="1" applyFill="1" applyBorder="1" applyAlignment="1">
      <alignment horizontal="left"/>
    </xf>
    <xf numFmtId="164" fontId="71" fillId="5" borderId="5" xfId="0" applyFont="1" applyFill="1" applyBorder="1" applyAlignment="1">
      <alignment horizontal="left" vertical="center"/>
    </xf>
    <xf numFmtId="164" fontId="71" fillId="5" borderId="7" xfId="0" applyFont="1" applyFill="1" applyBorder="1" applyAlignment="1">
      <alignment horizontal="left" vertical="center"/>
    </xf>
    <xf numFmtId="164" fontId="72" fillId="43" borderId="35" xfId="0" applyFont="1" applyFill="1" applyBorder="1" applyAlignment="1">
      <alignment horizontal="center"/>
    </xf>
    <xf numFmtId="164" fontId="72" fillId="43" borderId="36" xfId="0" applyFont="1" applyFill="1" applyBorder="1" applyAlignment="1">
      <alignment horizontal="center"/>
    </xf>
    <xf numFmtId="164" fontId="71" fillId="5" borderId="59" xfId="0" applyFont="1" applyFill="1" applyBorder="1" applyAlignment="1">
      <alignment horizontal="center"/>
    </xf>
    <xf numFmtId="164" fontId="71" fillId="5" borderId="60" xfId="0" applyFont="1" applyFill="1" applyBorder="1" applyAlignment="1">
      <alignment horizontal="center"/>
    </xf>
    <xf numFmtId="164" fontId="71" fillId="5" borderId="35" xfId="0" applyFont="1" applyFill="1" applyBorder="1" applyAlignment="1">
      <alignment horizontal="center"/>
    </xf>
    <xf numFmtId="164" fontId="71" fillId="5" borderId="36" xfId="0" applyFont="1" applyFill="1" applyBorder="1" applyAlignment="1">
      <alignment horizontal="center"/>
    </xf>
    <xf numFmtId="164" fontId="57" fillId="5" borderId="35" xfId="0" applyFont="1" applyFill="1" applyBorder="1" applyAlignment="1">
      <alignment horizontal="center"/>
    </xf>
    <xf numFmtId="164" fontId="57" fillId="5" borderId="36" xfId="0" applyFont="1" applyFill="1" applyBorder="1" applyAlignment="1">
      <alignment horizontal="center"/>
    </xf>
    <xf numFmtId="164" fontId="68" fillId="5" borderId="8" xfId="0" applyFont="1" applyFill="1" applyBorder="1" applyAlignment="1">
      <alignment horizontal="center" vertical="center"/>
    </xf>
    <xf numFmtId="164" fontId="68" fillId="5" borderId="9" xfId="0" applyFont="1" applyFill="1" applyBorder="1" applyAlignment="1">
      <alignment horizontal="center" vertical="center"/>
    </xf>
    <xf numFmtId="164" fontId="69" fillId="5" borderId="65" xfId="0" applyFont="1" applyFill="1" applyBorder="1" applyAlignment="1">
      <alignment horizontal="center" vertical="center" wrapText="1"/>
    </xf>
    <xf numFmtId="164" fontId="69" fillId="5" borderId="67" xfId="0" applyFont="1" applyFill="1" applyBorder="1" applyAlignment="1">
      <alignment horizontal="center" vertical="center" wrapText="1"/>
    </xf>
    <xf numFmtId="164" fontId="69" fillId="5" borderId="80" xfId="0" applyFont="1" applyFill="1" applyBorder="1" applyAlignment="1">
      <alignment horizontal="center" vertical="center" wrapText="1"/>
    </xf>
    <xf numFmtId="164" fontId="63" fillId="54" borderId="66" xfId="0" applyFont="1" applyFill="1" applyBorder="1" applyAlignment="1">
      <alignment horizontal="center" vertical="center"/>
    </xf>
    <xf numFmtId="164" fontId="63" fillId="54" borderId="68" xfId="0" applyFont="1" applyFill="1" applyBorder="1" applyAlignment="1">
      <alignment horizontal="center" vertical="center"/>
    </xf>
    <xf numFmtId="164" fontId="63" fillId="54" borderId="81" xfId="0" applyFont="1" applyFill="1" applyBorder="1" applyAlignment="1">
      <alignment horizontal="center" vertical="center"/>
    </xf>
    <xf numFmtId="164" fontId="63" fillId="5" borderId="92" xfId="0" applyFont="1" applyFill="1" applyBorder="1" applyAlignment="1">
      <alignment horizontal="center" vertical="center"/>
    </xf>
    <xf numFmtId="164" fontId="63" fillId="5" borderId="83" xfId="0" applyFont="1" applyFill="1" applyBorder="1" applyAlignment="1">
      <alignment horizontal="center" vertical="center"/>
    </xf>
    <xf numFmtId="43" fontId="0" fillId="5" borderId="85" xfId="0" applyNumberFormat="1" applyFill="1" applyBorder="1" applyAlignment="1">
      <alignment horizontal="center"/>
    </xf>
    <xf numFmtId="43" fontId="0" fillId="5" borderId="86" xfId="0" applyNumberFormat="1" applyFill="1" applyBorder="1" applyAlignment="1">
      <alignment horizontal="center"/>
    </xf>
    <xf numFmtId="43" fontId="0" fillId="5" borderId="88" xfId="0" applyNumberFormat="1" applyFill="1" applyBorder="1" applyAlignment="1">
      <alignment horizontal="center"/>
    </xf>
    <xf numFmtId="43" fontId="0" fillId="5" borderId="35" xfId="0" applyNumberFormat="1" applyFill="1" applyBorder="1" applyAlignment="1">
      <alignment horizontal="center"/>
    </xf>
    <xf numFmtId="43" fontId="0" fillId="5" borderId="58" xfId="0" applyNumberFormat="1" applyFill="1" applyBorder="1" applyAlignment="1">
      <alignment horizontal="center"/>
    </xf>
    <xf numFmtId="43" fontId="0" fillId="5" borderId="89" xfId="0" applyNumberFormat="1" applyFill="1" applyBorder="1" applyAlignment="1">
      <alignment horizontal="center"/>
    </xf>
    <xf numFmtId="43" fontId="0" fillId="35" borderId="85" xfId="0" applyNumberFormat="1" applyFill="1" applyBorder="1" applyAlignment="1">
      <alignment horizontal="center"/>
    </xf>
    <xf numFmtId="43" fontId="0" fillId="35" borderId="86" xfId="0" applyNumberFormat="1" applyFill="1" applyBorder="1" applyAlignment="1">
      <alignment horizontal="center"/>
    </xf>
    <xf numFmtId="43" fontId="0" fillId="35" borderId="88" xfId="0" applyNumberFormat="1" applyFill="1" applyBorder="1" applyAlignment="1">
      <alignment horizontal="center"/>
    </xf>
    <xf numFmtId="164" fontId="63" fillId="5" borderId="0" xfId="0" applyFont="1" applyFill="1" applyAlignment="1">
      <alignment horizontal="center" vertical="center"/>
    </xf>
    <xf numFmtId="164" fontId="63" fillId="5" borderId="60" xfId="0" applyFont="1" applyFill="1" applyBorder="1" applyAlignment="1">
      <alignment horizontal="center" vertical="center"/>
    </xf>
    <xf numFmtId="43" fontId="0" fillId="35" borderId="2" xfId="0" applyNumberFormat="1" applyFill="1" applyBorder="1" applyAlignment="1">
      <alignment horizontal="center"/>
    </xf>
    <xf numFmtId="43" fontId="0" fillId="35" borderId="3" xfId="0" applyNumberFormat="1" applyFill="1" applyBorder="1" applyAlignment="1">
      <alignment horizontal="center"/>
    </xf>
    <xf numFmtId="43" fontId="0" fillId="35" borderId="103" xfId="0" applyNumberFormat="1" applyFill="1" applyBorder="1" applyAlignment="1">
      <alignment horizontal="center"/>
    </xf>
    <xf numFmtId="164" fontId="59" fillId="43" borderId="92" xfId="0" applyFont="1" applyFill="1" applyBorder="1" applyAlignment="1">
      <alignment horizontal="center"/>
    </xf>
    <xf numFmtId="164" fontId="59" fillId="43" borderId="83" xfId="0" applyFont="1" applyFill="1" applyBorder="1" applyAlignment="1">
      <alignment horizontal="center"/>
    </xf>
    <xf numFmtId="164" fontId="59" fillId="43" borderId="94" xfId="0" applyFont="1" applyFill="1" applyBorder="1" applyAlignment="1">
      <alignment horizontal="center"/>
    </xf>
    <xf numFmtId="164" fontId="59" fillId="43" borderId="64" xfId="0" applyFont="1" applyFill="1" applyBorder="1" applyAlignment="1">
      <alignment horizontal="center"/>
    </xf>
    <xf numFmtId="164" fontId="59" fillId="43" borderId="95" xfId="0" applyFont="1" applyFill="1" applyBorder="1" applyAlignment="1">
      <alignment horizontal="center"/>
    </xf>
    <xf numFmtId="164" fontId="59" fillId="43" borderId="96" xfId="0" applyFont="1" applyFill="1" applyBorder="1" applyAlignment="1">
      <alignment horizontal="center"/>
    </xf>
    <xf numFmtId="164" fontId="59" fillId="43" borderId="97" xfId="0" applyFont="1" applyFill="1" applyBorder="1" applyAlignment="1">
      <alignment horizontal="center"/>
    </xf>
    <xf numFmtId="164" fontId="59" fillId="43" borderId="98" xfId="0" applyFont="1" applyFill="1" applyBorder="1" applyAlignment="1">
      <alignment horizontal="center"/>
    </xf>
    <xf numFmtId="164" fontId="54" fillId="54" borderId="82" xfId="0" applyFont="1" applyFill="1" applyBorder="1" applyAlignment="1">
      <alignment horizontal="center"/>
    </xf>
    <xf numFmtId="164" fontId="54" fillId="54" borderId="83" xfId="0" applyFont="1" applyFill="1" applyBorder="1" applyAlignment="1">
      <alignment horizontal="center"/>
    </xf>
    <xf numFmtId="164" fontId="54" fillId="54" borderId="34" xfId="0" applyFont="1" applyFill="1" applyBorder="1" applyAlignment="1">
      <alignment horizontal="center"/>
    </xf>
    <xf numFmtId="164" fontId="54" fillId="54" borderId="20" xfId="0" applyFont="1" applyFill="1" applyBorder="1" applyAlignment="1">
      <alignment horizontal="center"/>
    </xf>
    <xf numFmtId="164" fontId="54" fillId="54" borderId="100" xfId="0" applyFont="1" applyFill="1" applyBorder="1" applyAlignment="1">
      <alignment horizontal="center"/>
    </xf>
    <xf numFmtId="164" fontId="54" fillId="54" borderId="64" xfId="0" applyFont="1" applyFill="1" applyBorder="1" applyAlignment="1">
      <alignment horizontal="center"/>
    </xf>
    <xf numFmtId="164" fontId="58" fillId="5" borderId="6" xfId="0" applyFont="1" applyFill="1" applyBorder="1" applyAlignment="1">
      <alignment horizontal="center"/>
    </xf>
    <xf numFmtId="164" fontId="58" fillId="5" borderId="7" xfId="0" applyFont="1" applyFill="1" applyBorder="1" applyAlignment="1">
      <alignment horizontal="center"/>
    </xf>
    <xf numFmtId="164" fontId="58" fillId="5" borderId="101" xfId="0" applyFont="1" applyFill="1" applyBorder="1" applyAlignment="1">
      <alignment horizontal="left"/>
    </xf>
    <xf numFmtId="164" fontId="58" fillId="5" borderId="61" xfId="0" applyFont="1" applyFill="1" applyBorder="1" applyAlignment="1">
      <alignment horizontal="left"/>
    </xf>
    <xf numFmtId="164" fontId="59" fillId="43" borderId="93" xfId="0" applyFont="1" applyFill="1" applyBorder="1" applyAlignment="1">
      <alignment horizontal="center" vertical="center"/>
    </xf>
    <xf numFmtId="164" fontId="71" fillId="5" borderId="35" xfId="0" quotePrefix="1" applyFont="1" applyFill="1" applyBorder="1" applyAlignment="1">
      <alignment horizontal="center"/>
    </xf>
    <xf numFmtId="164" fontId="81" fillId="7" borderId="65" xfId="0" applyFont="1" applyFill="1" applyBorder="1" applyAlignment="1">
      <alignment horizontal="center" vertical="center" wrapText="1"/>
    </xf>
    <xf numFmtId="164" fontId="81" fillId="7" borderId="67" xfId="0" applyFont="1" applyFill="1" applyBorder="1" applyAlignment="1">
      <alignment horizontal="center" vertical="center" wrapText="1"/>
    </xf>
    <xf numFmtId="164" fontId="81" fillId="7" borderId="80" xfId="0" applyFont="1" applyFill="1" applyBorder="1" applyAlignment="1">
      <alignment horizontal="center" vertical="center" wrapText="1"/>
    </xf>
    <xf numFmtId="164" fontId="81" fillId="6" borderId="65" xfId="0" applyFont="1" applyFill="1" applyBorder="1" applyAlignment="1">
      <alignment horizontal="center" vertical="center" wrapText="1"/>
    </xf>
    <xf numFmtId="164" fontId="81" fillId="6" borderId="67" xfId="0" applyFont="1" applyFill="1" applyBorder="1" applyAlignment="1">
      <alignment horizontal="center" vertical="center" wrapText="1"/>
    </xf>
    <xf numFmtId="164" fontId="81" fillId="6" borderId="80" xfId="0" applyFont="1" applyFill="1" applyBorder="1" applyAlignment="1">
      <alignment horizontal="center" vertical="center" wrapText="1"/>
    </xf>
    <xf numFmtId="164" fontId="43" fillId="50" borderId="107" xfId="0" applyFont="1" applyFill="1" applyBorder="1" applyAlignment="1">
      <alignment horizontal="center"/>
    </xf>
    <xf numFmtId="164" fontId="43" fillId="50" borderId="108" xfId="0" applyFont="1" applyFill="1" applyBorder="1" applyAlignment="1">
      <alignment horizontal="center"/>
    </xf>
    <xf numFmtId="164" fontId="43" fillId="50" borderId="109" xfId="0" applyFont="1" applyFill="1" applyBorder="1" applyAlignment="1">
      <alignment horizontal="center"/>
    </xf>
    <xf numFmtId="164" fontId="80" fillId="7" borderId="65" xfId="0" applyFont="1" applyFill="1" applyBorder="1" applyAlignment="1">
      <alignment horizontal="center" vertical="center" wrapText="1"/>
    </xf>
    <xf numFmtId="164" fontId="80" fillId="7" borderId="67" xfId="0" applyFont="1" applyFill="1" applyBorder="1" applyAlignment="1">
      <alignment horizontal="center" vertical="center" wrapText="1"/>
    </xf>
    <xf numFmtId="164" fontId="80" fillId="6" borderId="65" xfId="0" applyFont="1" applyFill="1" applyBorder="1" applyAlignment="1">
      <alignment horizontal="center" vertical="center" wrapText="1"/>
    </xf>
    <xf numFmtId="164" fontId="80" fillId="6" borderId="67" xfId="0" applyFont="1" applyFill="1" applyBorder="1" applyAlignment="1">
      <alignment horizontal="center" vertical="center" wrapText="1"/>
    </xf>
    <xf numFmtId="164" fontId="80" fillId="6" borderId="80" xfId="0" applyFont="1" applyFill="1" applyBorder="1" applyAlignment="1">
      <alignment horizontal="center" vertical="center" wrapText="1"/>
    </xf>
    <xf numFmtId="164" fontId="32" fillId="39" borderId="58" xfId="164" applyFont="1" applyFill="1" applyBorder="1" applyAlignment="1">
      <alignment horizontal="center"/>
    </xf>
    <xf numFmtId="164" fontId="32" fillId="39" borderId="36" xfId="164" applyFont="1" applyFill="1" applyBorder="1" applyAlignment="1">
      <alignment horizontal="center"/>
    </xf>
    <xf numFmtId="164" fontId="32" fillId="40" borderId="58" xfId="164" applyFont="1" applyFill="1" applyBorder="1" applyAlignment="1">
      <alignment horizontal="right"/>
    </xf>
    <xf numFmtId="164" fontId="32" fillId="40" borderId="36" xfId="164" applyFont="1" applyFill="1" applyBorder="1" applyAlignment="1">
      <alignment horizontal="right"/>
    </xf>
    <xf numFmtId="164" fontId="44" fillId="37" borderId="1" xfId="162" applyFont="1" applyFill="1" applyBorder="1" applyAlignment="1" applyProtection="1">
      <alignment horizontal="center"/>
      <protection locked="0"/>
    </xf>
    <xf numFmtId="164" fontId="3" fillId="31" borderId="1" xfId="162" applyFont="1" applyFill="1" applyBorder="1" applyAlignment="1">
      <alignment horizontal="center"/>
    </xf>
    <xf numFmtId="164" fontId="3" fillId="38" borderId="1" xfId="162" applyFont="1" applyFill="1" applyBorder="1" applyAlignment="1">
      <alignment horizontal="center"/>
    </xf>
    <xf numFmtId="164" fontId="44" fillId="36" borderId="8" xfId="162" applyFont="1" applyFill="1" applyBorder="1" applyAlignment="1">
      <alignment horizontal="center" vertical="center"/>
    </xf>
    <xf numFmtId="164" fontId="44" fillId="36" borderId="9" xfId="162" applyFont="1" applyFill="1" applyBorder="1" applyAlignment="1">
      <alignment horizontal="center" vertical="center"/>
    </xf>
    <xf numFmtId="164" fontId="44" fillId="36" borderId="15" xfId="162" applyFont="1" applyFill="1" applyBorder="1" applyAlignment="1">
      <alignment horizontal="center" vertical="center"/>
    </xf>
    <xf numFmtId="164" fontId="23" fillId="34" borderId="39" xfId="0" applyFont="1" applyFill="1" applyBorder="1" applyAlignment="1">
      <alignment horizontal="center" vertical="center"/>
    </xf>
    <xf numFmtId="164" fontId="23" fillId="34" borderId="40" xfId="0" applyFont="1" applyFill="1" applyBorder="1" applyAlignment="1">
      <alignment horizontal="center" vertical="center"/>
    </xf>
    <xf numFmtId="164" fontId="23" fillId="34" borderId="46" xfId="0" applyFont="1" applyFill="1" applyBorder="1" applyAlignment="1">
      <alignment horizontal="center" vertical="center"/>
    </xf>
    <xf numFmtId="164" fontId="23" fillId="34" borderId="47" xfId="0" applyFont="1" applyFill="1" applyBorder="1" applyAlignment="1">
      <alignment horizontal="center" vertical="center"/>
    </xf>
    <xf numFmtId="164" fontId="23" fillId="34" borderId="49" xfId="0" applyFont="1" applyFill="1" applyBorder="1" applyAlignment="1">
      <alignment horizontal="center" vertical="center"/>
    </xf>
    <xf numFmtId="164" fontId="39" fillId="34" borderId="37" xfId="0" applyFont="1" applyFill="1" applyBorder="1" applyAlignment="1">
      <alignment horizontal="center" vertical="center"/>
    </xf>
    <xf numFmtId="164" fontId="39" fillId="34" borderId="41" xfId="0" applyFont="1" applyFill="1" applyBorder="1" applyAlignment="1">
      <alignment horizontal="center" vertical="center"/>
    </xf>
    <xf numFmtId="164" fontId="39" fillId="34" borderId="38" xfId="0" applyFont="1" applyFill="1" applyBorder="1" applyAlignment="1">
      <alignment horizontal="center" vertical="center"/>
    </xf>
    <xf numFmtId="164" fontId="39" fillId="34" borderId="42" xfId="0" applyFont="1" applyFill="1" applyBorder="1" applyAlignment="1">
      <alignment horizontal="center" vertical="center"/>
    </xf>
    <xf numFmtId="164" fontId="39" fillId="0" borderId="0" xfId="0" applyFont="1" applyAlignment="1">
      <alignment horizontal="center" vertical="center"/>
    </xf>
    <xf numFmtId="164" fontId="39" fillId="34" borderId="0" xfId="0" applyFont="1" applyFill="1" applyAlignment="1">
      <alignment horizontal="center" vertical="center"/>
    </xf>
    <xf numFmtId="164" fontId="39" fillId="34" borderId="45" xfId="0" applyFont="1" applyFill="1" applyBorder="1" applyAlignment="1">
      <alignment horizontal="center" vertical="center"/>
    </xf>
    <xf numFmtId="164" fontId="39" fillId="34" borderId="6" xfId="0" applyFont="1" applyFill="1" applyBorder="1" applyAlignment="1">
      <alignment horizontal="center" vertical="center"/>
    </xf>
    <xf numFmtId="164" fontId="39" fillId="34" borderId="48" xfId="0" applyFont="1" applyFill="1" applyBorder="1" applyAlignment="1">
      <alignment horizontal="center" vertical="center"/>
    </xf>
    <xf numFmtId="164" fontId="33" fillId="5" borderId="35" xfId="0" applyFont="1" applyFill="1" applyBorder="1" applyAlignment="1">
      <alignment horizontal="left"/>
    </xf>
    <xf numFmtId="164" fontId="33" fillId="5" borderId="36" xfId="0" applyFont="1" applyFill="1" applyBorder="1" applyAlignment="1">
      <alignment horizontal="left"/>
    </xf>
    <xf numFmtId="164" fontId="33" fillId="33" borderId="35" xfId="0" applyFont="1" applyFill="1" applyBorder="1" applyAlignment="1">
      <alignment horizontal="left"/>
    </xf>
    <xf numFmtId="164" fontId="33" fillId="33" borderId="36" xfId="0" applyFont="1" applyFill="1" applyBorder="1" applyAlignment="1">
      <alignment horizontal="left"/>
    </xf>
    <xf numFmtId="164" fontId="33" fillId="0" borderId="35" xfId="0" applyFont="1" applyBorder="1" applyAlignment="1">
      <alignment horizontal="left"/>
    </xf>
    <xf numFmtId="164" fontId="33" fillId="0" borderId="36" xfId="0" applyFont="1" applyBorder="1" applyAlignment="1">
      <alignment horizontal="left"/>
    </xf>
    <xf numFmtId="164" fontId="33" fillId="5" borderId="2" xfId="0" applyFont="1" applyFill="1" applyBorder="1" applyAlignment="1">
      <alignment horizontal="right" vertical="center"/>
    </xf>
    <xf numFmtId="164" fontId="33" fillId="5" borderId="4" xfId="0" applyFont="1" applyFill="1" applyBorder="1" applyAlignment="1">
      <alignment horizontal="right" vertical="center"/>
    </xf>
    <xf numFmtId="164" fontId="33" fillId="5" borderId="4" xfId="0" applyFont="1" applyFill="1" applyBorder="1" applyAlignment="1">
      <alignment horizontal="center" vertical="center"/>
    </xf>
    <xf numFmtId="164" fontId="33" fillId="5" borderId="7" xfId="0" applyFont="1" applyFill="1" applyBorder="1" applyAlignment="1">
      <alignment horizontal="center" vertical="center"/>
    </xf>
    <xf numFmtId="164" fontId="30" fillId="31" borderId="35" xfId="0" applyFont="1" applyFill="1" applyBorder="1" applyAlignment="1">
      <alignment horizontal="center"/>
    </xf>
    <xf numFmtId="164" fontId="30" fillId="31" borderId="36" xfId="0" applyFont="1" applyFill="1" applyBorder="1" applyAlignment="1">
      <alignment horizontal="center"/>
    </xf>
    <xf numFmtId="164" fontId="0" fillId="0" borderId="8" xfId="0" applyBorder="1" applyAlignment="1">
      <alignment horizontal="center"/>
    </xf>
    <xf numFmtId="164" fontId="0" fillId="0" borderId="15" xfId="0" applyBorder="1" applyAlignment="1">
      <alignment horizontal="center"/>
    </xf>
    <xf numFmtId="1" fontId="15" fillId="12" borderId="8" xfId="100" applyNumberFormat="1" applyFont="1" applyFill="1" applyBorder="1" applyAlignment="1">
      <alignment horizontal="center"/>
    </xf>
    <xf numFmtId="1" fontId="15" fillId="12" borderId="15" xfId="100" applyNumberFormat="1" applyFont="1" applyFill="1" applyBorder="1" applyAlignment="1">
      <alignment horizontal="center"/>
    </xf>
    <xf numFmtId="1" fontId="1" fillId="6" borderId="14" xfId="0" applyNumberFormat="1" applyFont="1" applyFill="1" applyBorder="1" applyAlignment="1">
      <alignment horizontal="center"/>
    </xf>
    <xf numFmtId="1" fontId="1" fillId="13" borderId="3" xfId="0" applyNumberFormat="1" applyFont="1" applyFill="1" applyBorder="1" applyAlignment="1">
      <alignment horizontal="center"/>
    </xf>
    <xf numFmtId="1" fontId="1" fillId="14" borderId="3" xfId="0" applyNumberFormat="1" applyFont="1" applyFill="1" applyBorder="1" applyAlignment="1">
      <alignment horizontal="center"/>
    </xf>
    <xf numFmtId="164" fontId="1" fillId="2" borderId="1" xfId="0" applyFont="1" applyFill="1" applyBorder="1" applyAlignment="1">
      <alignment horizontal="center" vertical="center"/>
    </xf>
    <xf numFmtId="164" fontId="1" fillId="2" borderId="8" xfId="0" applyFont="1" applyFill="1" applyBorder="1" applyAlignment="1">
      <alignment horizontal="center" vertical="center"/>
    </xf>
    <xf numFmtId="0" fontId="2" fillId="2" borderId="2" xfId="151" applyFont="1" applyFill="1" applyBorder="1" applyAlignment="1">
      <alignment horizontal="center" vertical="center" wrapText="1"/>
    </xf>
    <xf numFmtId="0" fontId="2" fillId="2" borderId="3" xfId="151" applyFont="1" applyFill="1" applyBorder="1" applyAlignment="1">
      <alignment horizontal="center" vertical="center" wrapText="1"/>
    </xf>
    <xf numFmtId="0" fontId="2" fillId="2" borderId="4" xfId="151" applyFont="1" applyFill="1" applyBorder="1" applyAlignment="1">
      <alignment horizontal="center" vertical="center" wrapText="1"/>
    </xf>
    <xf numFmtId="0" fontId="2" fillId="2" borderId="5" xfId="151" applyFont="1" applyFill="1" applyBorder="1" applyAlignment="1">
      <alignment horizontal="center" vertical="center" wrapText="1"/>
    </xf>
    <xf numFmtId="0" fontId="2" fillId="2" borderId="6" xfId="151" applyFont="1" applyFill="1" applyBorder="1" applyAlignment="1">
      <alignment horizontal="center" vertical="center" wrapText="1"/>
    </xf>
    <xf numFmtId="0" fontId="2" fillId="2" borderId="7" xfId="151" applyFont="1" applyFill="1" applyBorder="1" applyAlignment="1">
      <alignment horizontal="center" vertical="center" wrapText="1"/>
    </xf>
    <xf numFmtId="0" fontId="2" fillId="3" borderId="2" xfId="151" applyFont="1" applyFill="1" applyBorder="1" applyAlignment="1">
      <alignment horizontal="center" vertical="center" wrapText="1"/>
    </xf>
    <xf numFmtId="0" fontId="2" fillId="3" borderId="3" xfId="151" applyFont="1" applyFill="1" applyBorder="1" applyAlignment="1">
      <alignment horizontal="center" vertical="center" wrapText="1"/>
    </xf>
    <xf numFmtId="0" fontId="2" fillId="3" borderId="4" xfId="151" applyFont="1" applyFill="1" applyBorder="1" applyAlignment="1">
      <alignment horizontal="center" vertical="center" wrapText="1"/>
    </xf>
    <xf numFmtId="0" fontId="2" fillId="3" borderId="5" xfId="151" applyFont="1" applyFill="1" applyBorder="1" applyAlignment="1">
      <alignment horizontal="center" vertical="center" wrapText="1"/>
    </xf>
    <xf numFmtId="0" fontId="2" fillId="3" borderId="6" xfId="151" applyFont="1" applyFill="1" applyBorder="1" applyAlignment="1">
      <alignment horizontal="center" vertical="center" wrapText="1"/>
    </xf>
    <xf numFmtId="0" fontId="2" fillId="3" borderId="7" xfId="151" applyFont="1" applyFill="1" applyBorder="1" applyAlignment="1">
      <alignment horizontal="center" vertical="center" wrapText="1"/>
    </xf>
  </cellXfs>
  <cellStyles count="209">
    <cellStyle name="‡" xfId="5" xr:uid="{00000000-0005-0000-0000-000031000000}"/>
    <cellStyle name="‡_BOOK1" xfId="6" xr:uid="{00000000-0005-0000-0000-000032000000}"/>
    <cellStyle name="‡_BOOK1_ITM Rain v WH Availabke R0" xfId="7" xr:uid="{00000000-0005-0000-0000-000033000000}"/>
    <cellStyle name="‡_BOOK1_ITM Rain v WH Availabke R0_BAS" xfId="8" xr:uid="{00000000-0005-0000-0000-000034000000}"/>
    <cellStyle name="‡_ITM Rain v WH Availabke R0" xfId="9" xr:uid="{00000000-0005-0000-0000-000035000000}"/>
    <cellStyle name="‡_ITM Rain v WH Availabke R0_BAS" xfId="10" xr:uid="{00000000-0005-0000-0000-000036000000}"/>
    <cellStyle name="¹éºÐÀ²_±âÅ¸" xfId="11" xr:uid="{00000000-0005-0000-0000-000037000000}"/>
    <cellStyle name="20% - Accent1 10" xfId="12" xr:uid="{00000000-0005-0000-0000-000038000000}"/>
    <cellStyle name="20% - Accent1 2" xfId="13" xr:uid="{00000000-0005-0000-0000-000039000000}"/>
    <cellStyle name="20% - Accent1 2 2" xfId="14" xr:uid="{00000000-0005-0000-0000-00003A000000}"/>
    <cellStyle name="20% - Accent2 10" xfId="15" xr:uid="{00000000-0005-0000-0000-00003B000000}"/>
    <cellStyle name="20% - Accent2 2" xfId="16" xr:uid="{00000000-0005-0000-0000-00003C000000}"/>
    <cellStyle name="20% - Accent2 2 2" xfId="17" xr:uid="{00000000-0005-0000-0000-00003D000000}"/>
    <cellStyle name="20% - Accent3 10" xfId="18" xr:uid="{00000000-0005-0000-0000-00003E000000}"/>
    <cellStyle name="20% - Accent3 2" xfId="19" xr:uid="{00000000-0005-0000-0000-00003F000000}"/>
    <cellStyle name="20% - Accent3 2 2" xfId="20" xr:uid="{00000000-0005-0000-0000-000040000000}"/>
    <cellStyle name="20% - Accent4 10" xfId="21" xr:uid="{00000000-0005-0000-0000-000041000000}"/>
    <cellStyle name="20% - Accent4 2 2" xfId="22" xr:uid="{00000000-0005-0000-0000-000042000000}"/>
    <cellStyle name="20% - Accent5 10" xfId="23" xr:uid="{00000000-0005-0000-0000-000043000000}"/>
    <cellStyle name="20% - Accent5 2" xfId="24" xr:uid="{00000000-0005-0000-0000-000044000000}"/>
    <cellStyle name="20% - Accent5 2 2" xfId="25" xr:uid="{00000000-0005-0000-0000-000045000000}"/>
    <cellStyle name="20% - Accent6 10" xfId="26" xr:uid="{00000000-0005-0000-0000-000046000000}"/>
    <cellStyle name="20% - Accent6 2 2" xfId="27" xr:uid="{00000000-0005-0000-0000-000047000000}"/>
    <cellStyle name="20% - ส่วนที่ถูกเน้น1" xfId="28" xr:uid="{00000000-0005-0000-0000-000048000000}"/>
    <cellStyle name="20% - ส่วนที่ถูกเน้น2" xfId="29" xr:uid="{00000000-0005-0000-0000-000049000000}"/>
    <cellStyle name="20% - ส่วนที่ถูกเน้น3" xfId="30" xr:uid="{00000000-0005-0000-0000-00004A000000}"/>
    <cellStyle name="20% - ส่วนที่ถูกเน้น4" xfId="31" xr:uid="{00000000-0005-0000-0000-00004B000000}"/>
    <cellStyle name="20% - ส่วนที่ถูกเน้น5" xfId="32" xr:uid="{00000000-0005-0000-0000-00004C000000}"/>
    <cellStyle name="20% - ส่วนที่ถูกเน้น6" xfId="33" xr:uid="{00000000-0005-0000-0000-00004D000000}"/>
    <cellStyle name="40% - Accent1 10" xfId="34" xr:uid="{00000000-0005-0000-0000-00004E000000}"/>
    <cellStyle name="40% - Accent1 2" xfId="35" xr:uid="{00000000-0005-0000-0000-00004F000000}"/>
    <cellStyle name="40% - Accent1 2 2" xfId="36" xr:uid="{00000000-0005-0000-0000-000050000000}"/>
    <cellStyle name="40% - Accent2 10" xfId="37" xr:uid="{00000000-0005-0000-0000-000051000000}"/>
    <cellStyle name="40% - Accent2 2" xfId="38" xr:uid="{00000000-0005-0000-0000-000052000000}"/>
    <cellStyle name="40% - Accent2 2 2" xfId="39" xr:uid="{00000000-0005-0000-0000-000053000000}"/>
    <cellStyle name="40% - Accent3 10" xfId="40" xr:uid="{00000000-0005-0000-0000-000054000000}"/>
    <cellStyle name="40% - Accent3 2" xfId="41" xr:uid="{00000000-0005-0000-0000-000055000000}"/>
    <cellStyle name="40% - Accent3 2 2" xfId="42" xr:uid="{00000000-0005-0000-0000-000056000000}"/>
    <cellStyle name="40% - Accent4 10" xfId="43" xr:uid="{00000000-0005-0000-0000-000057000000}"/>
    <cellStyle name="40% - Accent5 10" xfId="44" xr:uid="{00000000-0005-0000-0000-000058000000}"/>
    <cellStyle name="40% - Accent5 2" xfId="45" xr:uid="{00000000-0005-0000-0000-000059000000}"/>
    <cellStyle name="40% - Accent6 10" xfId="46" xr:uid="{00000000-0005-0000-0000-00005A000000}"/>
    <cellStyle name="40% - Accent6 2 2" xfId="47" xr:uid="{00000000-0005-0000-0000-00005B000000}"/>
    <cellStyle name="40% - ส่วนที่ถูกเน้น1" xfId="48" xr:uid="{00000000-0005-0000-0000-00005C000000}"/>
    <cellStyle name="40% - ส่วนที่ถูกเน้น2" xfId="49" xr:uid="{00000000-0005-0000-0000-00005D000000}"/>
    <cellStyle name="40% - ส่วนที่ถูกเน้น3" xfId="50" xr:uid="{00000000-0005-0000-0000-00005E000000}"/>
    <cellStyle name="40% - ส่วนที่ถูกเน้น6" xfId="51" xr:uid="{00000000-0005-0000-0000-00005F000000}"/>
    <cellStyle name="60% - Accent1 2" xfId="52" xr:uid="{00000000-0005-0000-0000-000060000000}"/>
    <cellStyle name="60% - Accent1 2 2" xfId="53" xr:uid="{00000000-0005-0000-0000-000061000000}"/>
    <cellStyle name="60% - Accent2 2" xfId="54" xr:uid="{00000000-0005-0000-0000-000062000000}"/>
    <cellStyle name="60% - Accent2 2 2" xfId="55" xr:uid="{00000000-0005-0000-0000-000063000000}"/>
    <cellStyle name="60% - Accent3 2" xfId="56" xr:uid="{00000000-0005-0000-0000-000064000000}"/>
    <cellStyle name="60% - Accent3 2 2" xfId="57" xr:uid="{00000000-0005-0000-0000-000065000000}"/>
    <cellStyle name="60% - Accent4 2" xfId="58" xr:uid="{00000000-0005-0000-0000-000066000000}"/>
    <cellStyle name="60% - Accent4 2 2" xfId="59" xr:uid="{00000000-0005-0000-0000-000067000000}"/>
    <cellStyle name="60% - Accent5 2 2" xfId="60" xr:uid="{00000000-0005-0000-0000-000068000000}"/>
    <cellStyle name="60% - Accent6 2" xfId="61" xr:uid="{00000000-0005-0000-0000-000069000000}"/>
    <cellStyle name="60% - Accent6 2 2" xfId="62" xr:uid="{00000000-0005-0000-0000-00006A000000}"/>
    <cellStyle name="60% - ส่วนที่ถูกเน้น1" xfId="63" xr:uid="{00000000-0005-0000-0000-00006B000000}"/>
    <cellStyle name="60% - ส่วนที่ถูกเน้น2" xfId="64" xr:uid="{00000000-0005-0000-0000-00006C000000}"/>
    <cellStyle name="60% - ส่วนที่ถูกเน้น3" xfId="65" xr:uid="{00000000-0005-0000-0000-00006D000000}"/>
    <cellStyle name="60% - ส่วนที่ถูกเน้น4" xfId="66" xr:uid="{00000000-0005-0000-0000-00006E000000}"/>
    <cellStyle name="60% - ส่วนที่ถูกเน้น5" xfId="67" xr:uid="{00000000-0005-0000-0000-00006F000000}"/>
    <cellStyle name="60% - ส่วนที่ถูกเน้น6" xfId="68" xr:uid="{00000000-0005-0000-0000-000070000000}"/>
    <cellStyle name="75" xfId="69" xr:uid="{00000000-0005-0000-0000-000071000000}"/>
    <cellStyle name="75 2" xfId="70" xr:uid="{00000000-0005-0000-0000-000072000000}"/>
    <cellStyle name="Accent1 2 2" xfId="71" xr:uid="{00000000-0005-0000-0000-000073000000}"/>
    <cellStyle name="Accent2 2" xfId="72" xr:uid="{00000000-0005-0000-0000-000074000000}"/>
    <cellStyle name="Accent2 2 2" xfId="73" xr:uid="{00000000-0005-0000-0000-000075000000}"/>
    <cellStyle name="Accent3 2" xfId="74" xr:uid="{00000000-0005-0000-0000-000076000000}"/>
    <cellStyle name="Accent3 2 2" xfId="75" xr:uid="{00000000-0005-0000-0000-000077000000}"/>
    <cellStyle name="Accent4 2" xfId="76" xr:uid="{00000000-0005-0000-0000-000078000000}"/>
    <cellStyle name="Accent6 2" xfId="77" xr:uid="{00000000-0005-0000-0000-000079000000}"/>
    <cellStyle name="Accent6 2 2" xfId="78" xr:uid="{00000000-0005-0000-0000-00007A000000}"/>
    <cellStyle name="ÅëÈ­ [0]_±âÅ¸" xfId="79" xr:uid="{00000000-0005-0000-0000-00007B000000}"/>
    <cellStyle name="ÅëÈ­_±âÅ¸" xfId="80" xr:uid="{00000000-0005-0000-0000-00007C000000}"/>
    <cellStyle name="ÄÞ¸¶ [0]_±âÅ¸" xfId="81" xr:uid="{00000000-0005-0000-0000-00007D000000}"/>
    <cellStyle name="ÄÞ¸¶_±âÅ¸" xfId="82" xr:uid="{00000000-0005-0000-0000-00007E000000}"/>
    <cellStyle name="Bad 2" xfId="83" xr:uid="{00000000-0005-0000-0000-00007F000000}"/>
    <cellStyle name="Bad 2 2" xfId="84" xr:uid="{00000000-0005-0000-0000-000080000000}"/>
    <cellStyle name="Ç¥ÁØ_¿¬°£´©°è¿¹»ó" xfId="85" xr:uid="{00000000-0005-0000-0000-000081000000}"/>
    <cellStyle name="Calculation 2" xfId="86" xr:uid="{00000000-0005-0000-0000-000082000000}"/>
    <cellStyle name="Calculation 2 2" xfId="87" xr:uid="{00000000-0005-0000-0000-000083000000}"/>
    <cellStyle name="Check Cell 2" xfId="88" xr:uid="{00000000-0005-0000-0000-000084000000}"/>
    <cellStyle name="Check Cell 2 2" xfId="89" xr:uid="{00000000-0005-0000-0000-000085000000}"/>
    <cellStyle name="Comma" xfId="1" builtinId="3"/>
    <cellStyle name="Comma [0]" xfId="3" builtinId="6"/>
    <cellStyle name="Comma [0] 2" xfId="90" xr:uid="{00000000-0005-0000-0000-000086000000}"/>
    <cellStyle name="Comma [0] 2 2" xfId="91" xr:uid="{00000000-0005-0000-0000-000087000000}"/>
    <cellStyle name="Comma [0] 2 2 2" xfId="92" xr:uid="{00000000-0005-0000-0000-000088000000}"/>
    <cellStyle name="Comma 10 2 2" xfId="93" xr:uid="{00000000-0005-0000-0000-000089000000}"/>
    <cellStyle name="Comma 100" xfId="94" xr:uid="{00000000-0005-0000-0000-00008A000000}"/>
    <cellStyle name="Comma 101" xfId="95" xr:uid="{00000000-0005-0000-0000-00008B000000}"/>
    <cellStyle name="Comma 11 2 2" xfId="96" xr:uid="{00000000-0005-0000-0000-00008C000000}"/>
    <cellStyle name="Comma 11 2 2 2" xfId="97" xr:uid="{00000000-0005-0000-0000-00008D000000}"/>
    <cellStyle name="Comma 17 2 2" xfId="98" xr:uid="{00000000-0005-0000-0000-00008E000000}"/>
    <cellStyle name="Comma 17 3" xfId="99" xr:uid="{00000000-0005-0000-0000-00008F000000}"/>
    <cellStyle name="Comma 18" xfId="100" xr:uid="{00000000-0005-0000-0000-000090000000}"/>
    <cellStyle name="Comma 18 2 2" xfId="101" xr:uid="{00000000-0005-0000-0000-000091000000}"/>
    <cellStyle name="Comma 19" xfId="102" xr:uid="{00000000-0005-0000-0000-000092000000}"/>
    <cellStyle name="Comma 2" xfId="103" xr:uid="{00000000-0005-0000-0000-000093000000}"/>
    <cellStyle name="Comma 2 10" xfId="104" xr:uid="{00000000-0005-0000-0000-000094000000}"/>
    <cellStyle name="Comma 21" xfId="105" xr:uid="{00000000-0005-0000-0000-000095000000}"/>
    <cellStyle name="Comma 3" xfId="106" xr:uid="{00000000-0005-0000-0000-000096000000}"/>
    <cellStyle name="Comma 3 9" xfId="107" xr:uid="{00000000-0005-0000-0000-000097000000}"/>
    <cellStyle name="Comma 4 3" xfId="108" xr:uid="{00000000-0005-0000-0000-000098000000}"/>
    <cellStyle name="Comma0" xfId="109" xr:uid="{00000000-0005-0000-0000-000099000000}"/>
    <cellStyle name="Comma3???????????????????????????????????????????????" xfId="110" xr:uid="{00000000-0005-0000-0000-00009A000000}"/>
    <cellStyle name="Comma7???????????????????????????????????????????????" xfId="111" xr:uid="{00000000-0005-0000-0000-00009B000000}"/>
    <cellStyle name="Comma8???????????????????????????????????????????????" xfId="112" xr:uid="{00000000-0005-0000-0000-00009C000000}"/>
    <cellStyle name="Currency 2" xfId="113" xr:uid="{00000000-0005-0000-0000-00009D000000}"/>
    <cellStyle name="Currency 2 2" xfId="114" xr:uid="{00000000-0005-0000-0000-00009E000000}"/>
    <cellStyle name="Currency0" xfId="115" xr:uid="{00000000-0005-0000-0000-00009F000000}"/>
    <cellStyle name="Date" xfId="116" xr:uid="{00000000-0005-0000-0000-0000A0000000}"/>
    <cellStyle name="Explanatory Text 2" xfId="117" xr:uid="{00000000-0005-0000-0000-0000A1000000}"/>
    <cellStyle name="Explanatory Text 2 2" xfId="118" xr:uid="{00000000-0005-0000-0000-0000A2000000}"/>
    <cellStyle name="Fixed" xfId="119" xr:uid="{00000000-0005-0000-0000-0000A3000000}"/>
    <cellStyle name="Good 2" xfId="120" xr:uid="{00000000-0005-0000-0000-0000A4000000}"/>
    <cellStyle name="Good 2 2" xfId="121" xr:uid="{00000000-0005-0000-0000-0000A5000000}"/>
    <cellStyle name="Grey" xfId="122" xr:uid="{00000000-0005-0000-0000-0000A6000000}"/>
    <cellStyle name="Header1" xfId="123" xr:uid="{00000000-0005-0000-0000-0000A7000000}"/>
    <cellStyle name="Header1 2" xfId="124" xr:uid="{00000000-0005-0000-0000-0000A8000000}"/>
    <cellStyle name="Header2" xfId="125" xr:uid="{00000000-0005-0000-0000-0000A9000000}"/>
    <cellStyle name="Header2 2" xfId="126" xr:uid="{00000000-0005-0000-0000-0000AA000000}"/>
    <cellStyle name="Heading 1 2" xfId="127" xr:uid="{00000000-0005-0000-0000-0000AB000000}"/>
    <cellStyle name="Heading 1 2 2" xfId="128" xr:uid="{00000000-0005-0000-0000-0000AC000000}"/>
    <cellStyle name="Heading 1 3 2" xfId="129" xr:uid="{00000000-0005-0000-0000-0000AD000000}"/>
    <cellStyle name="Heading 2 2" xfId="130" xr:uid="{00000000-0005-0000-0000-0000AE000000}"/>
    <cellStyle name="Heading 2 2 2" xfId="131" xr:uid="{00000000-0005-0000-0000-0000AF000000}"/>
    <cellStyle name="Heading 2 2 3" xfId="132" xr:uid="{00000000-0005-0000-0000-0000B0000000}"/>
    <cellStyle name="Heading 3 2" xfId="133" xr:uid="{00000000-0005-0000-0000-0000B1000000}"/>
    <cellStyle name="Heading 3 2 2" xfId="134" xr:uid="{00000000-0005-0000-0000-0000B2000000}"/>
    <cellStyle name="Heading 4 2" xfId="135" xr:uid="{00000000-0005-0000-0000-0000B3000000}"/>
    <cellStyle name="Heading 4 2 2" xfId="136" xr:uid="{00000000-0005-0000-0000-0000B4000000}"/>
    <cellStyle name="Hyperlink" xfId="4" builtinId="8"/>
    <cellStyle name="Hyperlink 10" xfId="137" xr:uid="{00000000-0005-0000-0000-0000B5000000}"/>
    <cellStyle name="Hyperlink 11" xfId="138" xr:uid="{00000000-0005-0000-0000-0000B6000000}"/>
    <cellStyle name="Hyperlink 12" xfId="139" xr:uid="{00000000-0005-0000-0000-0000B7000000}"/>
    <cellStyle name="Hyperlink 2" xfId="140" xr:uid="{00000000-0005-0000-0000-0000B8000000}"/>
    <cellStyle name="Hyperlink 2 3" xfId="141" xr:uid="{00000000-0005-0000-0000-0000B9000000}"/>
    <cellStyle name="Input [yellow]" xfId="142" xr:uid="{00000000-0005-0000-0000-0000BA000000}"/>
    <cellStyle name="Input 2" xfId="143" xr:uid="{00000000-0005-0000-0000-0000BB000000}"/>
    <cellStyle name="Input 2 2" xfId="144" xr:uid="{00000000-0005-0000-0000-0000BC000000}"/>
    <cellStyle name="Linked Cell 2" xfId="145" xr:uid="{00000000-0005-0000-0000-0000BD000000}"/>
    <cellStyle name="Linked Cell 2 2" xfId="146" xr:uid="{00000000-0005-0000-0000-0000BE000000}"/>
    <cellStyle name="Neutral 2" xfId="147" xr:uid="{00000000-0005-0000-0000-0000BF000000}"/>
    <cellStyle name="Neutral 2 2" xfId="148" xr:uid="{00000000-0005-0000-0000-0000C0000000}"/>
    <cellStyle name="Non défini" xfId="149" xr:uid="{00000000-0005-0000-0000-0000C1000000}"/>
    <cellStyle name="Normal" xfId="0" builtinId="0"/>
    <cellStyle name="Normal - Style1" xfId="150" xr:uid="{00000000-0005-0000-0000-0000C2000000}"/>
    <cellStyle name="Normal 10 2" xfId="151" xr:uid="{00000000-0005-0000-0000-0000C3000000}"/>
    <cellStyle name="Normal 10 2 2" xfId="152" xr:uid="{00000000-0005-0000-0000-0000C4000000}"/>
    <cellStyle name="Normal 106" xfId="153" xr:uid="{00000000-0005-0000-0000-0000C5000000}"/>
    <cellStyle name="Normal 121" xfId="154" xr:uid="{00000000-0005-0000-0000-0000C6000000}"/>
    <cellStyle name="Normal 13" xfId="155" xr:uid="{00000000-0005-0000-0000-0000C7000000}"/>
    <cellStyle name="Normal 131" xfId="156" xr:uid="{00000000-0005-0000-0000-0000C8000000}"/>
    <cellStyle name="Normal 145" xfId="157" xr:uid="{00000000-0005-0000-0000-0000C9000000}"/>
    <cellStyle name="Normal 164" xfId="158" xr:uid="{00000000-0005-0000-0000-0000CA000000}"/>
    <cellStyle name="Normal 19 6" xfId="159" xr:uid="{00000000-0005-0000-0000-0000CB000000}"/>
    <cellStyle name="Normal 2" xfId="160" xr:uid="{00000000-0005-0000-0000-0000CC000000}"/>
    <cellStyle name="Normal 2 2 3" xfId="161" xr:uid="{00000000-0005-0000-0000-0000CD000000}"/>
    <cellStyle name="Normal 2_new" xfId="162" xr:uid="{00000000-0005-0000-0000-0000CE000000}"/>
    <cellStyle name="Normal 29 4" xfId="163" xr:uid="{00000000-0005-0000-0000-0000CF000000}"/>
    <cellStyle name="Normal 3" xfId="164" xr:uid="{00000000-0005-0000-0000-0000D0000000}"/>
    <cellStyle name="Normal 3 11" xfId="165" xr:uid="{00000000-0005-0000-0000-0000D1000000}"/>
    <cellStyle name="Normal 3 3 2" xfId="166" xr:uid="{00000000-0005-0000-0000-0000D2000000}"/>
    <cellStyle name="Normal 32 4" xfId="167" xr:uid="{00000000-0005-0000-0000-0000D3000000}"/>
    <cellStyle name="Normal 4 3" xfId="168" xr:uid="{00000000-0005-0000-0000-0000D4000000}"/>
    <cellStyle name="Normal_1???????????????????????????????????????????????" xfId="169" xr:uid="{00000000-0005-0000-0000-0000D5000000}"/>
    <cellStyle name="Normal10???????????????????????????????????????????????" xfId="170" xr:uid="{00000000-0005-0000-0000-0000D6000000}"/>
    <cellStyle name="Normal11???????????????????????????????????????????????" xfId="171" xr:uid="{00000000-0005-0000-0000-0000D7000000}"/>
    <cellStyle name="Normal12???????????????????????????????????????????????" xfId="172" xr:uid="{00000000-0005-0000-0000-0000D8000000}"/>
    <cellStyle name="Normal121" xfId="173" xr:uid="{00000000-0005-0000-0000-0000D9000000}"/>
    <cellStyle name="Normal5???????????????????????????????????????????????" xfId="174" xr:uid="{00000000-0005-0000-0000-0000DA000000}"/>
    <cellStyle name="Normal6???????????????????????????????????????????????" xfId="175" xr:uid="{00000000-0005-0000-0000-0000DB000000}"/>
    <cellStyle name="Normal65???????????????????????????????????????????????" xfId="176" xr:uid="{00000000-0005-0000-0000-0000DC000000}"/>
    <cellStyle name="Normal7???????????????????????????????????????????????" xfId="177" xr:uid="{00000000-0005-0000-0000-0000DD000000}"/>
    <cellStyle name="Normal8???????????????????????????????????????????????" xfId="178" xr:uid="{00000000-0005-0000-0000-0000DE000000}"/>
    <cellStyle name="Normal9???????????????????????????????????????????????" xfId="179" xr:uid="{00000000-0005-0000-0000-0000DF000000}"/>
    <cellStyle name="NotDeclared_14???????????????????????????????????????????????" xfId="180" xr:uid="{00000000-0005-0000-0000-0000E0000000}"/>
    <cellStyle name="Note 10" xfId="181" xr:uid="{00000000-0005-0000-0000-0000E1000000}"/>
    <cellStyle name="Note 2" xfId="182" xr:uid="{00000000-0005-0000-0000-0000E2000000}"/>
    <cellStyle name="Output 2" xfId="183" xr:uid="{00000000-0005-0000-0000-0000E3000000}"/>
    <cellStyle name="Output 2 2" xfId="184" xr:uid="{00000000-0005-0000-0000-0000E4000000}"/>
    <cellStyle name="Percent" xfId="2" builtinId="5"/>
    <cellStyle name="Percent 10" xfId="185" xr:uid="{00000000-0005-0000-0000-0000E5000000}"/>
    <cellStyle name="Percent 13" xfId="186" xr:uid="{00000000-0005-0000-0000-0000E6000000}"/>
    <cellStyle name="Percent 13 2" xfId="187" xr:uid="{00000000-0005-0000-0000-0000E7000000}"/>
    <cellStyle name="Percent 17" xfId="188" xr:uid="{00000000-0005-0000-0000-0000E8000000}"/>
    <cellStyle name="Percent 2" xfId="189" xr:uid="{00000000-0005-0000-0000-0000E9000000}"/>
    <cellStyle name="Percent 2 3" xfId="190" xr:uid="{00000000-0005-0000-0000-0000EA000000}"/>
    <cellStyle name="Percent 2 3 2" xfId="191" xr:uid="{00000000-0005-0000-0000-0000EB000000}"/>
    <cellStyle name="Percent 3" xfId="192" xr:uid="{00000000-0005-0000-0000-0000EC000000}"/>
    <cellStyle name="Style 1" xfId="193" xr:uid="{00000000-0005-0000-0000-0000ED000000}"/>
    <cellStyle name="Style 2" xfId="194" xr:uid="{00000000-0005-0000-0000-0000EE000000}"/>
    <cellStyle name="Title 2" xfId="195" xr:uid="{00000000-0005-0000-0000-0000EF000000}"/>
    <cellStyle name="Title 2 2" xfId="196" xr:uid="{00000000-0005-0000-0000-0000F0000000}"/>
    <cellStyle name="Total 2" xfId="197" xr:uid="{00000000-0005-0000-0000-0000F1000000}"/>
    <cellStyle name="Total 2 2" xfId="198" xr:uid="{00000000-0005-0000-0000-0000F2000000}"/>
    <cellStyle name="Total 2 3" xfId="199" xr:uid="{00000000-0005-0000-0000-0000F3000000}"/>
    <cellStyle name="Warning Text 2" xfId="200" xr:uid="{00000000-0005-0000-0000-0000F4000000}"/>
    <cellStyle name="Warning Text 2 2" xfId="201" xr:uid="{00000000-0005-0000-0000-0000F5000000}"/>
    <cellStyle name="Yosha" xfId="202" xr:uid="{00000000-0005-0000-0000-0000F6000000}"/>
    <cellStyle name="น้บะภฒ_95" xfId="203" xr:uid="{00000000-0005-0000-0000-0000F7000000}"/>
    <cellStyle name="ฤธถ [0]_95" xfId="204" xr:uid="{00000000-0005-0000-0000-0000F8000000}"/>
    <cellStyle name="ฤธถ_95" xfId="205" xr:uid="{00000000-0005-0000-0000-0000F9000000}"/>
    <cellStyle name="ล๋ศญ [0]_95" xfId="206" xr:uid="{00000000-0005-0000-0000-0000FA000000}"/>
    <cellStyle name="ล๋ศญ_95" xfId="207" xr:uid="{00000000-0005-0000-0000-0000FB000000}"/>
    <cellStyle name="วฅมุ_4ฟ๙ฝวภ๛" xfId="208" xr:uid="{00000000-0005-0000-0000-0000FC000000}"/>
  </cellStyles>
  <dxfs count="68">
    <dxf>
      <font>
        <color rgb="FF9C0006"/>
      </font>
    </dxf>
    <dxf>
      <font>
        <color rgb="FF9C0006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bgColor rgb="FFFF0000"/>
        </patternFill>
      </fill>
    </dxf>
    <dxf>
      <font>
        <color indexed="9"/>
      </font>
    </dxf>
    <dxf>
      <font>
        <color rgb="FFFF0000"/>
      </font>
      <fill>
        <patternFill patternType="solid">
          <bgColor theme="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3" formatCode="#,##0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35" formatCode="_(* #,##0.00_);_(* \(#,##0.00\);_(* &quot;-&quot;??_);_(@_)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186" formatCode="[hh]:mm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186" formatCode="[hh]:mm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185" formatCode="dd/mm/yyyy\ hh:mm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numFmt numFmtId="185" formatCode="dd/mm/yyyy\ hh:mm"/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1454817346722"/>
        </top>
        <bottom/>
      </border>
    </dxf>
    <dxf>
      <font>
        <strike val="0"/>
        <u val="none"/>
        <sz val="10"/>
      </font>
      <fill>
        <patternFill patternType="none"/>
      </fill>
    </dxf>
    <dxf>
      <font>
        <strike val="0"/>
        <u val="none"/>
        <sz val="10"/>
      </font>
      <fill>
        <patternFill patternType="none"/>
      </fill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187" formatCode="#0.00\ &quot;KM&quot;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187" formatCode="#0.00\ &quot;KM&quot;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2" formatCode="0.00"/>
      <fill>
        <patternFill patternType="none"/>
      </fill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2" formatCode="0.00"/>
      <fill>
        <patternFill patternType="none"/>
      </fill>
      <alignment horizontal="center"/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fill>
        <patternFill patternType="none"/>
      </fill>
      <alignment horizontal="center"/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fill>
        <patternFill patternType="none"/>
      </fill>
      <alignment horizontal="center"/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fill>
        <patternFill patternType="none"/>
      </fill>
      <alignment horizontal="center"/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fill>
        <patternFill patternType="none"/>
      </fill>
      <alignment horizontal="center"/>
    </dxf>
    <dxf>
      <font>
        <b val="0"/>
        <i val="0"/>
        <strike val="0"/>
        <u val="none"/>
        <sz val="10"/>
        <color auto="1"/>
        <name val="Calibri"/>
        <family val="2"/>
        <scheme val="none"/>
      </font>
      <numFmt numFmtId="0" formatCode="General"/>
      <fill>
        <patternFill patternType="none"/>
      </fill>
      <alignment horizont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9" defaultPivotStyle="PivotStyleLight16"/>
  <colors>
    <mruColors>
      <color rgb="FF66FF66"/>
      <color rgb="FF66CCFF"/>
      <color rgb="FF00CCFF"/>
      <color rgb="FFFFCC66"/>
      <color rgb="FFFF99CC"/>
      <color rgb="FFFF9933"/>
      <color rgb="FFFFFF99"/>
      <color rgb="FFFF66CC"/>
      <color rgb="FF472F91"/>
      <color rgb="FF0441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1B-4805-BA4D-19BBEC9E0CF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B-4805-BA4D-19BBEC9E0CF1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711B-4805-BA4D-19BBEC9E0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7e1b79-a66f-46cf-9514-20be5c9325a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66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0-4F0A-A3B2-469839FB6CE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0-4F0A-A3B2-469839FB6CE1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6B10-4F0A-A3B2-469839FB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e193bf-a4ce-46f2-a6fc-364adb4eaee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A1-4040-A678-85041BA4C15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1-4040-A678-85041BA4C15D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16A1-4040-A678-85041BA4C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8e6cefd-bcac-464a-8196-6180addf51e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E6-4F6A-8205-0D67EA6A54B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E6-4F6A-8205-0D67EA6A54B4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48E6-4F6A-8205-0D67EA6A5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948df1-0076-40b0-85ac-6ddc89ef8b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40-4289-826B-7E99B327A72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40-4289-826B-7E99B327A72C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0140-4289-826B-7E99B327A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7e1b79-a66f-46cf-9514-20be5c9325a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66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1-482B-AB2D-779302E9DBB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1-482B-AB2D-779302E9DBB2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8961-482B-AB2D-779302E9D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e193bf-a4ce-46f2-a6fc-364adb4eaee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A1-4749-8C46-B0CB5817042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A1-4749-8C46-B0CB58170425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8A1-4749-8C46-B0CB5817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8e6cefd-bcac-464a-8196-6180addf51e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0B-4EFD-80C4-19E227361F0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0B-4EFD-80C4-19E227361F0E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650B-4EFD-80C4-19E227361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948df1-0076-40b0-85ac-6ddc89ef8b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2-4767-8523-95A8556170A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2-4767-8523-95A8556170A1}"/>
              </c:ext>
            </c:extLst>
          </c:dPt>
          <c:val>
            <c:numRef>
              <c:f>Dashboard!$AS$16:$AT$16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2-4767-8523-95A855617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9ce4f39-2188-46f4-bf40-29bb770ed7c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CC99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3-4356-A4E1-6203F63194A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53-4356-A4E1-6203F63194AD}"/>
              </c:ext>
            </c:extLst>
          </c:dPt>
          <c:val>
            <c:numRef>
              <c:f>Dashboard!$AS$18:$AT$18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53-4356-A4E1-6203F631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8a01d29-87ad-4293-935f-aecd5f21121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B9-40D6-AB23-57A41BABD7C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B9-40D6-AB23-57A41BABD7C6}"/>
              </c:ext>
            </c:extLst>
          </c:dPt>
          <c:val>
            <c:numLit>
              <c:formatCode>0%</c:formatCode>
              <c:ptCount val="2"/>
              <c:pt idx="0">
                <c:v>0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BFB9-40D6-AB23-57A41BABD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7e1b79-a66f-46cf-9514-20be5c9325a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66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E-44F7-A0C2-950F52238F6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FE-44F7-A0C2-950F52238F69}"/>
              </c:ext>
            </c:extLst>
          </c:dPt>
          <c:val>
            <c:numLit>
              <c:formatCode>0%</c:formatCode>
              <c:ptCount val="2"/>
              <c:pt idx="0">
                <c:v>0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53FE-44F7-A0C2-950F52238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e193bf-a4ce-46f2-a6fc-364adb4eaee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68-46D8-9EAE-3648C97E833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68-46D8-9EAE-3648C97E833B}"/>
              </c:ext>
            </c:extLst>
          </c:dPt>
          <c:val>
            <c:numLit>
              <c:formatCode>0%</c:formatCode>
              <c:ptCount val="2"/>
              <c:pt idx="0">
                <c:v>0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FE68-46D8-9EAE-3648C97E8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8e6cefd-bcac-464a-8196-6180addf51e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3-4F68-9BAD-D0B04616DDC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B3-4F68-9BAD-D0B04616DDC1}"/>
              </c:ext>
            </c:extLst>
          </c:dPt>
          <c:val>
            <c:numLit>
              <c:formatCode>0%</c:formatCode>
              <c:ptCount val="2"/>
              <c:pt idx="0">
                <c:v>0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08B3-4F68-9BAD-D0B04616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948df1-0076-40b0-85ac-6ddc89ef8b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12139586445817"/>
          <c:y val="0"/>
          <c:w val="0.71477501867720905"/>
          <c:h val="0.9562741807728699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Lit>
              <c:formatCode>0%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42C-4823-9BA8-5D7C30A1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591960"/>
        <c:axId val="113586472"/>
      </c:barChart>
      <c:catAx>
        <c:axId val="113591960"/>
        <c:scaling>
          <c:orientation val="minMax"/>
        </c:scaling>
        <c:delete val="1"/>
        <c:axPos val="l"/>
        <c:majorTickMark val="out"/>
        <c:minorTickMark val="none"/>
        <c:tickLblPos val="nextTo"/>
        <c:crossAx val="113586472"/>
        <c:crosses val="autoZero"/>
        <c:auto val="1"/>
        <c:lblAlgn val="ctr"/>
        <c:lblOffset val="100"/>
        <c:noMultiLvlLbl val="0"/>
      </c:catAx>
      <c:valAx>
        <c:axId val="113586472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1359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4d3a6b-47f4-4fd1-bc42-c56638abd8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644639906248597E-2"/>
          <c:y val="0"/>
          <c:w val="0.71477501867720905"/>
          <c:h val="0.9562741807728699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Ref>
              <c:f>Dashboard!$AV$7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4-42D2-958E-ABB2D310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591960"/>
        <c:axId val="113586472"/>
      </c:barChart>
      <c:catAx>
        <c:axId val="113591960"/>
        <c:scaling>
          <c:orientation val="minMax"/>
        </c:scaling>
        <c:delete val="1"/>
        <c:axPos val="l"/>
        <c:majorTickMark val="out"/>
        <c:minorTickMark val="none"/>
        <c:tickLblPos val="nextTo"/>
        <c:crossAx val="113586472"/>
        <c:crosses val="autoZero"/>
        <c:auto val="1"/>
        <c:lblAlgn val="ctr"/>
        <c:lblOffset val="100"/>
        <c:noMultiLvlLbl val="0"/>
      </c:catAx>
      <c:valAx>
        <c:axId val="113586472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1359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4d3a6b-47f4-4fd1-bc42-c56638abd8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644639906248597E-2"/>
          <c:y val="0"/>
          <c:w val="0.71477501867720905"/>
          <c:h val="0.9562741807728699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FF99"/>
            </a:solidFill>
            <a:ln w="9525" cap="flat" cmpd="sng" algn="ctr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Ref>
              <c:f>Dashboard!$AV$8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9-41B1-9C8A-25DF03314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591960"/>
        <c:axId val="113586472"/>
      </c:barChart>
      <c:catAx>
        <c:axId val="113591960"/>
        <c:scaling>
          <c:orientation val="minMax"/>
        </c:scaling>
        <c:delete val="1"/>
        <c:axPos val="l"/>
        <c:majorTickMark val="out"/>
        <c:minorTickMark val="none"/>
        <c:tickLblPos val="nextTo"/>
        <c:crossAx val="113586472"/>
        <c:crosses val="autoZero"/>
        <c:auto val="1"/>
        <c:lblAlgn val="ctr"/>
        <c:lblOffset val="100"/>
        <c:noMultiLvlLbl val="0"/>
      </c:catAx>
      <c:valAx>
        <c:axId val="113586472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1359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57fcf8-81e7-4fa0-b1c6-2454a427904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OB Removal production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Actual!$C$17</c:f>
              <c:strCache>
                <c:ptCount val="1"/>
                <c:pt idx="0">
                  <c:v>Pit UEW</c:v>
                </c:pt>
              </c:strCache>
            </c:strRef>
          </c:tx>
          <c:spPr>
            <a:solidFill>
              <a:srgbClr val="00FF00"/>
            </a:solidFill>
          </c:spPr>
          <c:invertIfNegative val="0"/>
          <c:cat>
            <c:strRef>
              <c:f>Graph!$D$54:$AH$55</c:f>
              <c:strCache>
                <c:ptCount val="31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</c:strCache>
            </c:strRef>
          </c:cat>
          <c:val>
            <c:numRef>
              <c:f>Actual!$F$21:$AJ$21</c:f>
            </c:numRef>
          </c:val>
          <c:extLst>
            <c:ext xmlns:c16="http://schemas.microsoft.com/office/drawing/2014/chart" uri="{C3380CC4-5D6E-409C-BE32-E72D297353CC}">
              <c16:uniqueId val="{00000000-D4BC-4FB2-AA41-D28FBEFE568A}"/>
            </c:ext>
          </c:extLst>
        </c:ser>
        <c:ser>
          <c:idx val="3"/>
          <c:order val="3"/>
          <c:tx>
            <c:strRef>
              <c:f>Actual!$C$32</c:f>
              <c:strCache>
                <c:ptCount val="1"/>
                <c:pt idx="0">
                  <c:v>PIT UCEX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val>
            <c:numRef>
              <c:f>Actual!$F$212:$AJ$212</c:f>
              <c:numCache>
                <c:formatCode>_(* #,##0.00_);_(* \(#,##0.00\);_(* "-"??_);_(@_)</c:formatCode>
                <c:ptCount val="31"/>
                <c:pt idx="0">
                  <c:v>424.5</c:v>
                </c:pt>
                <c:pt idx="1">
                  <c:v>1168.5</c:v>
                </c:pt>
                <c:pt idx="2">
                  <c:v>1930.5</c:v>
                </c:pt>
                <c:pt idx="3">
                  <c:v>1350</c:v>
                </c:pt>
                <c:pt idx="4">
                  <c:v>1917</c:v>
                </c:pt>
                <c:pt idx="5">
                  <c:v>0</c:v>
                </c:pt>
                <c:pt idx="6">
                  <c:v>1809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BC-4FB2-AA41-D28FBEFE5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86799168"/>
        <c:axId val="186795640"/>
      </c:barChart>
      <c:barChart>
        <c:barDir val="col"/>
        <c:grouping val="stacked"/>
        <c:varyColors val="0"/>
        <c:ser>
          <c:idx val="0"/>
          <c:order val="1"/>
          <c:tx>
            <c:v>TJP</c:v>
          </c:tx>
          <c:spPr>
            <a:solidFill>
              <a:srgbClr val="0000FF"/>
            </a:solidFill>
          </c:spPr>
          <c:invertIfNegative val="0"/>
          <c:cat>
            <c:strRef>
              <c:f>Graph!$D$54:$AH$55</c:f>
              <c:strCache>
                <c:ptCount val="31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</c:strCache>
            </c:strRef>
          </c:cat>
          <c:val>
            <c:numRef>
              <c:f>Actual!$F$31:$AJ$31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513</c:v>
                </c:pt>
                <c:pt idx="2">
                  <c:v>999</c:v>
                </c:pt>
                <c:pt idx="3">
                  <c:v>877.5</c:v>
                </c:pt>
                <c:pt idx="4">
                  <c:v>1147.5</c:v>
                </c:pt>
                <c:pt idx="5">
                  <c:v>0</c:v>
                </c:pt>
                <c:pt idx="6">
                  <c:v>1174.5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BC-4FB2-AA41-D28FBEFE5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86799168"/>
        <c:axId val="186795640"/>
      </c:barChart>
      <c:lineChart>
        <c:grouping val="standard"/>
        <c:varyColors val="0"/>
        <c:ser>
          <c:idx val="1"/>
          <c:order val="2"/>
          <c:tx>
            <c:strRef>
              <c:f>Graph!$C$56</c:f>
              <c:strCache>
                <c:ptCount val="1"/>
                <c:pt idx="0">
                  <c:v>PLAN OB</c:v>
                </c:pt>
              </c:strCache>
            </c:strRef>
          </c:tx>
          <c:spPr>
            <a:ln w="28575" cap="rnd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c:spPr>
          <c:marker>
            <c:symbol val="diamond"/>
            <c:size val="7"/>
            <c:spPr>
              <a:solidFill>
                <a:srgbClr val="FFFF00"/>
              </a:solidFill>
              <a:ln w="9525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</a:ln>
            </c:spPr>
          </c:marker>
          <c:val>
            <c:numRef>
              <c:f>Graph!$D$56:$AG$56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BC-4FB2-AA41-D28FBEFE5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99168"/>
        <c:axId val="186795640"/>
      </c:lineChart>
      <c:catAx>
        <c:axId val="1867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5640"/>
        <c:crosses val="autoZero"/>
        <c:auto val="1"/>
        <c:lblAlgn val="ctr"/>
        <c:lblOffset val="100"/>
        <c:noMultiLvlLbl val="0"/>
      </c:catAx>
      <c:valAx>
        <c:axId val="186795640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9168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path path="circle">
            <a:fillToRect l="100000" b="100000"/>
          </a:path>
          <a:tileRect t="-100000" r="-100000"/>
        </a:gradFill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96197e-cccf-4181-afb3-9df2c733e6a7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ROM Production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Actual!$C$181</c:f>
              <c:strCache>
                <c:ptCount val="1"/>
                <c:pt idx="0">
                  <c:v>BAS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numRef>
              <c:f>Graph!$D$55:$AH$55</c:f>
              <c:numCache>
                <c:formatCode>_-* #,##0_-;\-* #,##0_-;_-* "-"??_-;_-@_-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Actual!$F$187:$AJ$187</c:f>
            </c:numRef>
          </c:val>
          <c:extLst>
            <c:ext xmlns:c16="http://schemas.microsoft.com/office/drawing/2014/chart" uri="{C3380CC4-5D6E-409C-BE32-E72D297353CC}">
              <c16:uniqueId val="{00000000-3490-476B-8DC9-0BFB72839F42}"/>
            </c:ext>
          </c:extLst>
        </c:ser>
        <c:ser>
          <c:idx val="1"/>
          <c:order val="1"/>
          <c:tx>
            <c:strRef>
              <c:f>Actual!$C$189</c:f>
              <c:strCache>
                <c:ptCount val="1"/>
                <c:pt idx="0">
                  <c:v>UEW</c:v>
                </c:pt>
              </c:strCache>
            </c:strRef>
          </c:tx>
          <c:spPr>
            <a:solidFill>
              <a:srgbClr val="00FF00"/>
            </a:solidFill>
          </c:spPr>
          <c:invertIfNegative val="0"/>
          <c:cat>
            <c:numRef>
              <c:f>Graph!$D$55:$AH$55</c:f>
              <c:numCache>
                <c:formatCode>_-* #,##0_-;\-* #,##0_-;_-* "-"??_-;_-@_-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Actual!$F$197:$AJ$197</c:f>
            </c:numRef>
          </c:val>
          <c:extLst>
            <c:ext xmlns:c16="http://schemas.microsoft.com/office/drawing/2014/chart" uri="{C3380CC4-5D6E-409C-BE32-E72D297353CC}">
              <c16:uniqueId val="{00000001-3490-476B-8DC9-0BFB72839F42}"/>
            </c:ext>
          </c:extLst>
        </c:ser>
        <c:ser>
          <c:idx val="2"/>
          <c:order val="2"/>
          <c:tx>
            <c:strRef>
              <c:f>Actual!$C$207</c:f>
              <c:strCache>
                <c:ptCount val="1"/>
                <c:pt idx="0">
                  <c:v>M45C-Extend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Graph!$D$55:$AH$55</c:f>
              <c:numCache>
                <c:formatCode>_-* #,##0_-;\-* #,##0_-;_-* "-"??_-;_-@_-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Actual!$F$215:$AJ$215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0-476B-8DC9-0BFB7283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86799952"/>
        <c:axId val="186796032"/>
      </c:barChart>
      <c:lineChart>
        <c:grouping val="standard"/>
        <c:varyColors val="0"/>
        <c:ser>
          <c:idx val="3"/>
          <c:order val="3"/>
          <c:tx>
            <c:strRef>
              <c:f>Graph!$C$57</c:f>
              <c:strCache>
                <c:ptCount val="1"/>
                <c:pt idx="0">
                  <c:v>PLAN ROM</c:v>
                </c:pt>
              </c:strCache>
            </c:strRef>
          </c:tx>
          <c:spPr>
            <a:ln w="28575" cap="rnd" cmpd="sng" algn="ctr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60000"/>
                    <a:lumOff val="40000"/>
                  </a:schemeClr>
                </a:solidFill>
                <a:prstDash val="solid"/>
                <a:round/>
              </a:ln>
            </c:spPr>
          </c:marker>
          <c:cat>
            <c:numRef>
              <c:f>Graph!$D$55:$AG$55</c:f>
              <c:numCache>
                <c:formatCode>_-* #,##0_-;\-* #,##0_-;_-* "-"??_-;_-@_-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Graph!$D$57:$AG$57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90-476B-8DC9-0BFB7283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99952"/>
        <c:axId val="186796032"/>
      </c:lineChart>
      <c:catAx>
        <c:axId val="186799952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6032"/>
        <c:crosses val="autoZero"/>
        <c:auto val="1"/>
        <c:lblAlgn val="ctr"/>
        <c:lblOffset val="100"/>
        <c:noMultiLvlLbl val="0"/>
      </c:catAx>
      <c:valAx>
        <c:axId val="186796032"/>
        <c:scaling>
          <c:orientation val="minMax"/>
          <c:max val="3000"/>
        </c:scaling>
        <c:delete val="0"/>
        <c:axPos val="l"/>
        <c:majorGridlines/>
        <c:numFmt formatCode="_(* #,##0_);_(* \(#,##0\);_(* &quot;-&quot;_);_(@_)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9952"/>
        <c:crosses val="autoZero"/>
        <c:crossBetween val="between"/>
        <c:majorUnit val="500"/>
      </c:valAx>
      <c:spPr>
        <a:gradFill flip="none" rotWithShape="1">
          <a:gsLst>
            <a:gs pos="0">
              <a:srgbClr val="FF66CC">
                <a:tint val="66000"/>
                <a:satMod val="160000"/>
              </a:srgbClr>
            </a:gs>
            <a:gs pos="50000">
              <a:srgbClr val="FF66CC">
                <a:tint val="44500"/>
                <a:satMod val="160000"/>
              </a:srgbClr>
            </a:gs>
            <a:gs pos="100000">
              <a:srgbClr val="FF66CC">
                <a:tint val="23500"/>
                <a:satMod val="160000"/>
              </a:srgbClr>
            </a:gs>
          </a:gsLst>
          <a:path path="circle">
            <a:fillToRect l="100000" t="100000"/>
          </a:path>
          <a:tileRect r="-100000" b="-100000"/>
        </a:gradFill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0f15e2-761d-41e2-bfda-361d9cab30a2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Data Rainfall</a:t>
            </a:r>
            <a:r>
              <a:rPr lang="en-US" sz="1800" b="1" baseline="0"/>
              <a:t> 2004 -2026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Budget!$E$23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Budget!$F$23:$Q$23</c:f>
              <c:numCache>
                <c:formatCode>_(* #,##0_);_(* \(#,##0\);_(* "-"??_);_(@_)</c:formatCode>
                <c:ptCount val="12"/>
                <c:pt idx="0">
                  <c:v>292.2</c:v>
                </c:pt>
                <c:pt idx="1">
                  <c:v>108.6</c:v>
                </c:pt>
                <c:pt idx="2">
                  <c:v>333.4</c:v>
                </c:pt>
                <c:pt idx="3">
                  <c:v>196</c:v>
                </c:pt>
                <c:pt idx="4">
                  <c:v>324.60000000000002</c:v>
                </c:pt>
                <c:pt idx="5">
                  <c:v>82.2</c:v>
                </c:pt>
                <c:pt idx="6">
                  <c:v>79</c:v>
                </c:pt>
                <c:pt idx="7">
                  <c:v>30</c:v>
                </c:pt>
                <c:pt idx="8">
                  <c:v>36.4</c:v>
                </c:pt>
                <c:pt idx="9">
                  <c:v>83.4</c:v>
                </c:pt>
                <c:pt idx="10">
                  <c:v>55.6</c:v>
                </c:pt>
                <c:pt idx="11">
                  <c:v>148.69999999999999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2-450B-A4FC-1DBBFC970964}"/>
            </c:ext>
          </c:extLst>
        </c:ser>
        <c:ser>
          <c:idx val="1"/>
          <c:order val="1"/>
          <c:tx>
            <c:strRef>
              <c:f>Budget!$E$24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Budget!$F$24:$Q$24</c:f>
              <c:numCache>
                <c:formatCode>_(* #,##0_);_(* \(#,##0\);_(* "-"??_);_(@_)</c:formatCode>
                <c:ptCount val="12"/>
                <c:pt idx="0">
                  <c:v>199.3</c:v>
                </c:pt>
                <c:pt idx="1">
                  <c:v>507</c:v>
                </c:pt>
                <c:pt idx="2">
                  <c:v>376.5</c:v>
                </c:pt>
                <c:pt idx="3">
                  <c:v>311</c:v>
                </c:pt>
                <c:pt idx="4">
                  <c:v>279</c:v>
                </c:pt>
                <c:pt idx="5">
                  <c:v>175.5</c:v>
                </c:pt>
                <c:pt idx="6">
                  <c:v>90.2</c:v>
                </c:pt>
                <c:pt idx="7">
                  <c:v>85.55</c:v>
                </c:pt>
                <c:pt idx="8">
                  <c:v>11</c:v>
                </c:pt>
                <c:pt idx="9">
                  <c:v>317</c:v>
                </c:pt>
                <c:pt idx="10">
                  <c:v>348.6</c:v>
                </c:pt>
                <c:pt idx="11">
                  <c:v>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12-450B-A4FC-1DBBFC970964}"/>
            </c:ext>
          </c:extLst>
        </c:ser>
        <c:ser>
          <c:idx val="2"/>
          <c:order val="2"/>
          <c:tx>
            <c:strRef>
              <c:f>Budget!$E$25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Budget!$F$25:$Q$25</c:f>
              <c:numCache>
                <c:formatCode>_(* #,##0_);_(* \(#,##0\);_(* "-"??_);_(@_)</c:formatCode>
                <c:ptCount val="12"/>
                <c:pt idx="0">
                  <c:v>303.5</c:v>
                </c:pt>
                <c:pt idx="1">
                  <c:v>272</c:v>
                </c:pt>
                <c:pt idx="2">
                  <c:v>367</c:v>
                </c:pt>
                <c:pt idx="3">
                  <c:v>331</c:v>
                </c:pt>
                <c:pt idx="4">
                  <c:v>120.5</c:v>
                </c:pt>
                <c:pt idx="5">
                  <c:v>567</c:v>
                </c:pt>
                <c:pt idx="6">
                  <c:v>109</c:v>
                </c:pt>
                <c:pt idx="7">
                  <c:v>20</c:v>
                </c:pt>
                <c:pt idx="8">
                  <c:v>38</c:v>
                </c:pt>
                <c:pt idx="9">
                  <c:v>120</c:v>
                </c:pt>
                <c:pt idx="10">
                  <c:v>165.73333333333301</c:v>
                </c:pt>
                <c:pt idx="11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12-450B-A4FC-1DBBFC970964}"/>
            </c:ext>
          </c:extLst>
        </c:ser>
        <c:ser>
          <c:idx val="3"/>
          <c:order val="3"/>
          <c:tx>
            <c:strRef>
              <c:f>Budget!$E$26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Budget!$F$26:$Q$26</c:f>
              <c:numCache>
                <c:formatCode>_(* #,##0_);_(* \(#,##0\);_(* "-"??_);_(@_)</c:formatCode>
                <c:ptCount val="12"/>
                <c:pt idx="0">
                  <c:v>281</c:v>
                </c:pt>
                <c:pt idx="1">
                  <c:v>243</c:v>
                </c:pt>
                <c:pt idx="2">
                  <c:v>293</c:v>
                </c:pt>
                <c:pt idx="3">
                  <c:v>409</c:v>
                </c:pt>
                <c:pt idx="4">
                  <c:v>274</c:v>
                </c:pt>
                <c:pt idx="5">
                  <c:v>488</c:v>
                </c:pt>
                <c:pt idx="6">
                  <c:v>956</c:v>
                </c:pt>
                <c:pt idx="7">
                  <c:v>157</c:v>
                </c:pt>
                <c:pt idx="8">
                  <c:v>91</c:v>
                </c:pt>
                <c:pt idx="9">
                  <c:v>136</c:v>
                </c:pt>
                <c:pt idx="10">
                  <c:v>58</c:v>
                </c:pt>
                <c:pt idx="11">
                  <c:v>24.8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212-450B-A4FC-1DBBFC970964}"/>
            </c:ext>
          </c:extLst>
        </c:ser>
        <c:ser>
          <c:idx val="4"/>
          <c:order val="4"/>
          <c:tx>
            <c:strRef>
              <c:f>Budget!$E$27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Budget!$F$27:$Q$27</c:f>
              <c:numCache>
                <c:formatCode>_(* #,##0_);_(* \(#,##0\);_(* "-"??_);_(@_)</c:formatCode>
                <c:ptCount val="12"/>
                <c:pt idx="0">
                  <c:v>117.166666666667</c:v>
                </c:pt>
                <c:pt idx="1">
                  <c:v>78.866666666666703</c:v>
                </c:pt>
                <c:pt idx="2">
                  <c:v>173.23333333333301</c:v>
                </c:pt>
                <c:pt idx="3">
                  <c:v>192.4</c:v>
                </c:pt>
                <c:pt idx="4">
                  <c:v>640</c:v>
                </c:pt>
                <c:pt idx="5">
                  <c:v>190.833333333333</c:v>
                </c:pt>
                <c:pt idx="6">
                  <c:v>325.23333333333301</c:v>
                </c:pt>
                <c:pt idx="7">
                  <c:v>401.2</c:v>
                </c:pt>
                <c:pt idx="8">
                  <c:v>286</c:v>
                </c:pt>
                <c:pt idx="9">
                  <c:v>166.433333333333</c:v>
                </c:pt>
                <c:pt idx="10">
                  <c:v>477.76666666666699</c:v>
                </c:pt>
                <c:pt idx="11">
                  <c:v>446.1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212-450B-A4FC-1DBBFC970964}"/>
            </c:ext>
          </c:extLst>
        </c:ser>
        <c:ser>
          <c:idx val="5"/>
          <c:order val="5"/>
          <c:tx>
            <c:strRef>
              <c:f>Budget!$E$28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Budget!$F$28:$Q$28</c:f>
              <c:numCache>
                <c:formatCode>_(* #,##0_);_(* \(#,##0\);_(* "-"??_);_(@_)</c:formatCode>
                <c:ptCount val="12"/>
                <c:pt idx="0">
                  <c:v>340.13333333333298</c:v>
                </c:pt>
                <c:pt idx="1">
                  <c:v>162.69999999999999</c:v>
                </c:pt>
                <c:pt idx="2">
                  <c:v>102.666666666667</c:v>
                </c:pt>
                <c:pt idx="3">
                  <c:v>118.333333333333</c:v>
                </c:pt>
                <c:pt idx="4">
                  <c:v>343.66666666666703</c:v>
                </c:pt>
                <c:pt idx="5">
                  <c:v>81.3333333333333</c:v>
                </c:pt>
                <c:pt idx="6">
                  <c:v>161.666666666667</c:v>
                </c:pt>
                <c:pt idx="7">
                  <c:v>74.6666666666667</c:v>
                </c:pt>
                <c:pt idx="8">
                  <c:v>4.6666666666666696</c:v>
                </c:pt>
                <c:pt idx="9">
                  <c:v>110.666666666667</c:v>
                </c:pt>
                <c:pt idx="10">
                  <c:v>150.666666666667</c:v>
                </c:pt>
                <c:pt idx="11">
                  <c:v>79.3333333333333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212-450B-A4FC-1DBBFC970964}"/>
            </c:ext>
          </c:extLst>
        </c:ser>
        <c:ser>
          <c:idx val="6"/>
          <c:order val="6"/>
          <c:tx>
            <c:strRef>
              <c:f>Budget!$E$29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Budget!$F$29:$Q$29</c:f>
              <c:numCache>
                <c:formatCode>_(* #,##0_);_(* \(#,##0\);_(* "-"??_);_(@_)</c:formatCode>
                <c:ptCount val="12"/>
                <c:pt idx="0">
                  <c:v>177.25</c:v>
                </c:pt>
                <c:pt idx="1">
                  <c:v>201.7</c:v>
                </c:pt>
                <c:pt idx="2">
                  <c:v>267.89999999999998</c:v>
                </c:pt>
                <c:pt idx="3">
                  <c:v>289.7</c:v>
                </c:pt>
                <c:pt idx="4">
                  <c:v>295.35000000000002</c:v>
                </c:pt>
                <c:pt idx="5">
                  <c:v>271</c:v>
                </c:pt>
                <c:pt idx="6">
                  <c:v>327.14999999999998</c:v>
                </c:pt>
                <c:pt idx="7">
                  <c:v>431.20000000000101</c:v>
                </c:pt>
                <c:pt idx="8">
                  <c:v>203.45</c:v>
                </c:pt>
                <c:pt idx="9">
                  <c:v>299.150000000001</c:v>
                </c:pt>
                <c:pt idx="10">
                  <c:v>163.65</c:v>
                </c:pt>
                <c:pt idx="11">
                  <c:v>70.2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212-450B-A4FC-1DBBFC970964}"/>
            </c:ext>
          </c:extLst>
        </c:ser>
        <c:ser>
          <c:idx val="7"/>
          <c:order val="7"/>
          <c:tx>
            <c:strRef>
              <c:f>Budget!$E$30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Budget!$F$30:$Q$30</c:f>
              <c:numCache>
                <c:formatCode>_(* #,##0_);_(* \(#,##0\);_(* "-"??_);_(@_)</c:formatCode>
                <c:ptCount val="12"/>
                <c:pt idx="0">
                  <c:v>125.05</c:v>
                </c:pt>
                <c:pt idx="1">
                  <c:v>171.95</c:v>
                </c:pt>
                <c:pt idx="2">
                  <c:v>201.81</c:v>
                </c:pt>
                <c:pt idx="3">
                  <c:v>219</c:v>
                </c:pt>
                <c:pt idx="4">
                  <c:v>111</c:v>
                </c:pt>
                <c:pt idx="5">
                  <c:v>150.650000000001</c:v>
                </c:pt>
                <c:pt idx="6">
                  <c:v>80.900000000000006</c:v>
                </c:pt>
                <c:pt idx="7">
                  <c:v>14.65</c:v>
                </c:pt>
                <c:pt idx="8">
                  <c:v>83.05</c:v>
                </c:pt>
                <c:pt idx="9">
                  <c:v>229.25</c:v>
                </c:pt>
                <c:pt idx="10">
                  <c:v>244.75</c:v>
                </c:pt>
                <c:pt idx="11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12-450B-A4FC-1DBBFC970964}"/>
            </c:ext>
          </c:extLst>
        </c:ser>
        <c:ser>
          <c:idx val="8"/>
          <c:order val="8"/>
          <c:tx>
            <c:strRef>
              <c:f>Budget!$E$31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Budget!$F$31:$Q$31</c:f>
              <c:numCache>
                <c:formatCode>_(* #,##0_);_(* \(#,##0\);_(* "-"??_);_(@_)</c:formatCode>
                <c:ptCount val="12"/>
                <c:pt idx="0">
                  <c:v>187.26666666666699</c:v>
                </c:pt>
                <c:pt idx="1">
                  <c:v>135.666666666667</c:v>
                </c:pt>
                <c:pt idx="2">
                  <c:v>188.066666666667</c:v>
                </c:pt>
                <c:pt idx="3">
                  <c:v>126.633333333333</c:v>
                </c:pt>
                <c:pt idx="4">
                  <c:v>114.133333333333</c:v>
                </c:pt>
                <c:pt idx="5">
                  <c:v>158</c:v>
                </c:pt>
                <c:pt idx="6">
                  <c:v>421</c:v>
                </c:pt>
                <c:pt idx="7">
                  <c:v>307</c:v>
                </c:pt>
                <c:pt idx="8">
                  <c:v>46</c:v>
                </c:pt>
                <c:pt idx="9">
                  <c:v>92</c:v>
                </c:pt>
                <c:pt idx="10">
                  <c:v>147.13333333333301</c:v>
                </c:pt>
                <c:pt idx="11">
                  <c:v>236.23672663314599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12-450B-A4FC-1DBBFC970964}"/>
            </c:ext>
          </c:extLst>
        </c:ser>
        <c:ser>
          <c:idx val="9"/>
          <c:order val="9"/>
          <c:tx>
            <c:strRef>
              <c:f>Budget!$E$32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Budget!$F$32:$Q$32</c:f>
              <c:numCache>
                <c:formatCode>_(* #,##0_);_(* \(#,##0\);_(* "-"??_);_(@_)</c:formatCode>
                <c:ptCount val="12"/>
                <c:pt idx="0">
                  <c:v>191</c:v>
                </c:pt>
                <c:pt idx="1">
                  <c:v>251.166666666667</c:v>
                </c:pt>
                <c:pt idx="2">
                  <c:v>204.46666666666701</c:v>
                </c:pt>
                <c:pt idx="3">
                  <c:v>238</c:v>
                </c:pt>
                <c:pt idx="4">
                  <c:v>160.933333333333</c:v>
                </c:pt>
                <c:pt idx="5">
                  <c:v>171.333333333333</c:v>
                </c:pt>
                <c:pt idx="6">
                  <c:v>464.86666666666702</c:v>
                </c:pt>
                <c:pt idx="7">
                  <c:v>257.86666666666702</c:v>
                </c:pt>
                <c:pt idx="8">
                  <c:v>172.4</c:v>
                </c:pt>
                <c:pt idx="9">
                  <c:v>35</c:v>
                </c:pt>
                <c:pt idx="10">
                  <c:v>152.066666666667</c:v>
                </c:pt>
                <c:pt idx="11">
                  <c:v>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212-450B-A4FC-1DBBFC970964}"/>
            </c:ext>
          </c:extLst>
        </c:ser>
        <c:ser>
          <c:idx val="10"/>
          <c:order val="10"/>
          <c:tx>
            <c:strRef>
              <c:f>Budget!$E$33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Budget!$F$33:$Q$33</c:f>
              <c:numCache>
                <c:formatCode>_(* #,##0_);_(* \(#,##0\);_(* "-"??_);_(@_)</c:formatCode>
                <c:ptCount val="12"/>
                <c:pt idx="0">
                  <c:v>188.2</c:v>
                </c:pt>
                <c:pt idx="1">
                  <c:v>174</c:v>
                </c:pt>
                <c:pt idx="2">
                  <c:v>372.13333333333298</c:v>
                </c:pt>
                <c:pt idx="3">
                  <c:v>190.4</c:v>
                </c:pt>
                <c:pt idx="4">
                  <c:v>292</c:v>
                </c:pt>
                <c:pt idx="5">
                  <c:v>315.14999999999998</c:v>
                </c:pt>
                <c:pt idx="6">
                  <c:v>174.599722222222</c:v>
                </c:pt>
                <c:pt idx="7">
                  <c:v>196.4</c:v>
                </c:pt>
                <c:pt idx="8">
                  <c:v>6</c:v>
                </c:pt>
                <c:pt idx="9">
                  <c:v>110.93</c:v>
                </c:pt>
                <c:pt idx="10">
                  <c:v>128.94999999999999</c:v>
                </c:pt>
                <c:pt idx="11">
                  <c:v>474.2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12-450B-A4FC-1DBBFC970964}"/>
            </c:ext>
          </c:extLst>
        </c:ser>
        <c:ser>
          <c:idx val="11"/>
          <c:order val="11"/>
          <c:tx>
            <c:strRef>
              <c:f>Budget!$E$34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Budget!$F$34:$Q$34</c:f>
              <c:numCache>
                <c:formatCode>_(* #,##0_);_(* \(#,##0\);_(* "-"??_);_(@_)</c:formatCode>
                <c:ptCount val="12"/>
                <c:pt idx="0">
                  <c:v>238.5</c:v>
                </c:pt>
                <c:pt idx="1">
                  <c:v>228</c:v>
                </c:pt>
                <c:pt idx="2">
                  <c:v>127</c:v>
                </c:pt>
                <c:pt idx="3">
                  <c:v>293.86666666666702</c:v>
                </c:pt>
                <c:pt idx="4">
                  <c:v>327.433333333333</c:v>
                </c:pt>
                <c:pt idx="5">
                  <c:v>287.91333333333301</c:v>
                </c:pt>
                <c:pt idx="6">
                  <c:v>4.07</c:v>
                </c:pt>
                <c:pt idx="7">
                  <c:v>1.1000000000000001</c:v>
                </c:pt>
                <c:pt idx="8">
                  <c:v>0</c:v>
                </c:pt>
                <c:pt idx="9">
                  <c:v>57.35</c:v>
                </c:pt>
                <c:pt idx="10">
                  <c:v>134.67500000000001</c:v>
                </c:pt>
                <c:pt idx="11">
                  <c:v>300.565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12-450B-A4FC-1DBBFC970964}"/>
            </c:ext>
          </c:extLst>
        </c:ser>
        <c:ser>
          <c:idx val="12"/>
          <c:order val="12"/>
          <c:tx>
            <c:strRef>
              <c:f>Budget!$E$35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Budget!$F$35:$Q$35</c:f>
              <c:numCache>
                <c:formatCode>_(* #,##0_);_(* \(#,##0\);_(* "-"??_);_(@_)</c:formatCode>
                <c:ptCount val="12"/>
                <c:pt idx="0">
                  <c:v>223</c:v>
                </c:pt>
                <c:pt idx="1">
                  <c:v>322.7</c:v>
                </c:pt>
                <c:pt idx="2">
                  <c:v>351.47500000000002</c:v>
                </c:pt>
                <c:pt idx="3">
                  <c:v>488.95</c:v>
                </c:pt>
                <c:pt idx="4">
                  <c:v>337</c:v>
                </c:pt>
                <c:pt idx="5">
                  <c:v>207</c:v>
                </c:pt>
                <c:pt idx="6">
                  <c:v>228.4</c:v>
                </c:pt>
                <c:pt idx="7">
                  <c:v>32.549999999999997</c:v>
                </c:pt>
                <c:pt idx="8">
                  <c:v>140</c:v>
                </c:pt>
                <c:pt idx="9">
                  <c:v>138.19999999999999</c:v>
                </c:pt>
                <c:pt idx="10">
                  <c:v>208.15</c:v>
                </c:pt>
                <c:pt idx="11">
                  <c:v>156.69999999999999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212-450B-A4FC-1DBBFC970964}"/>
            </c:ext>
          </c:extLst>
        </c:ser>
        <c:ser>
          <c:idx val="13"/>
          <c:order val="13"/>
          <c:tx>
            <c:strRef>
              <c:f>Budget!$E$36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Budget!$F$36:$Q$36</c:f>
              <c:numCache>
                <c:formatCode>_(* #,##0_);_(* \(#,##0\);_(* "-"??_);_(@_)</c:formatCode>
                <c:ptCount val="12"/>
                <c:pt idx="0">
                  <c:v>322.5</c:v>
                </c:pt>
                <c:pt idx="1">
                  <c:v>185.4</c:v>
                </c:pt>
                <c:pt idx="2">
                  <c:v>99.25</c:v>
                </c:pt>
                <c:pt idx="3">
                  <c:v>260.95</c:v>
                </c:pt>
                <c:pt idx="4">
                  <c:v>741</c:v>
                </c:pt>
                <c:pt idx="5">
                  <c:v>533</c:v>
                </c:pt>
                <c:pt idx="6">
                  <c:v>315.5</c:v>
                </c:pt>
                <c:pt idx="7">
                  <c:v>291.3</c:v>
                </c:pt>
                <c:pt idx="8">
                  <c:v>255.4</c:v>
                </c:pt>
                <c:pt idx="9">
                  <c:v>104.8</c:v>
                </c:pt>
                <c:pt idx="10">
                  <c:v>265.7</c:v>
                </c:pt>
                <c:pt idx="11">
                  <c:v>222.4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212-450B-A4FC-1DBBFC970964}"/>
            </c:ext>
          </c:extLst>
        </c:ser>
        <c:ser>
          <c:idx val="14"/>
          <c:order val="14"/>
          <c:tx>
            <c:strRef>
              <c:f>Budget!$E$37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Budget!$F$37:$Q$37</c:f>
              <c:numCache>
                <c:formatCode>_(* #,##0_);_(* \(#,##0\);_(* "-"??_);_(@_)</c:formatCode>
                <c:ptCount val="12"/>
                <c:pt idx="0">
                  <c:v>288.8</c:v>
                </c:pt>
                <c:pt idx="1">
                  <c:v>310.3</c:v>
                </c:pt>
                <c:pt idx="2">
                  <c:v>320</c:v>
                </c:pt>
                <c:pt idx="3">
                  <c:v>62.5</c:v>
                </c:pt>
                <c:pt idx="4">
                  <c:v>1000</c:v>
                </c:pt>
                <c:pt idx="5">
                  <c:v>684</c:v>
                </c:pt>
                <c:pt idx="6">
                  <c:v>121.5</c:v>
                </c:pt>
                <c:pt idx="7">
                  <c:v>94.5</c:v>
                </c:pt>
                <c:pt idx="8">
                  <c:v>107</c:v>
                </c:pt>
                <c:pt idx="9">
                  <c:v>12</c:v>
                </c:pt>
                <c:pt idx="10">
                  <c:v>176.5</c:v>
                </c:pt>
                <c:pt idx="11">
                  <c:v>271.8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212-450B-A4FC-1DBBFC970964}"/>
            </c:ext>
          </c:extLst>
        </c:ser>
        <c:ser>
          <c:idx val="15"/>
          <c:order val="15"/>
          <c:tx>
            <c:strRef>
              <c:f>Budget!$E$38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Budget!$F$38:$Q$38</c:f>
              <c:numCache>
                <c:formatCode>_(* #,##0_);_(* \(#,##0\);_(* "-"??_);_(@_)</c:formatCode>
                <c:ptCount val="12"/>
                <c:pt idx="0">
                  <c:v>388</c:v>
                </c:pt>
                <c:pt idx="1">
                  <c:v>81.5</c:v>
                </c:pt>
                <c:pt idx="2">
                  <c:v>212</c:v>
                </c:pt>
                <c:pt idx="3">
                  <c:v>213</c:v>
                </c:pt>
                <c:pt idx="4">
                  <c:v>277</c:v>
                </c:pt>
                <c:pt idx="5">
                  <c:v>1114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51.5</c:v>
                </c:pt>
                <c:pt idx="10">
                  <c:v>75</c:v>
                </c:pt>
                <c:pt idx="11">
                  <c:v>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212-450B-A4FC-1DBBFC970964}"/>
            </c:ext>
          </c:extLst>
        </c:ser>
        <c:ser>
          <c:idx val="16"/>
          <c:order val="16"/>
          <c:tx>
            <c:strRef>
              <c:f>Budget!$E$39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Budget!$F$39:$Q$39</c:f>
              <c:numCache>
                <c:formatCode>_(* #,##0_);_(* \(#,##0\);_(* "-"??_);_(@_)</c:formatCode>
                <c:ptCount val="12"/>
                <c:pt idx="0">
                  <c:v>550</c:v>
                </c:pt>
                <c:pt idx="1">
                  <c:v>420</c:v>
                </c:pt>
                <c:pt idx="2">
                  <c:v>400</c:v>
                </c:pt>
                <c:pt idx="3">
                  <c:v>418</c:v>
                </c:pt>
                <c:pt idx="4">
                  <c:v>392</c:v>
                </c:pt>
                <c:pt idx="5">
                  <c:v>1124</c:v>
                </c:pt>
                <c:pt idx="6">
                  <c:v>643</c:v>
                </c:pt>
                <c:pt idx="7">
                  <c:v>81</c:v>
                </c:pt>
                <c:pt idx="8">
                  <c:v>257</c:v>
                </c:pt>
                <c:pt idx="9">
                  <c:v>384</c:v>
                </c:pt>
                <c:pt idx="10">
                  <c:v>117</c:v>
                </c:pt>
                <c:pt idx="11">
                  <c:v>694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3212-450B-A4FC-1DBBFC970964}"/>
            </c:ext>
          </c:extLst>
        </c:ser>
        <c:ser>
          <c:idx val="17"/>
          <c:order val="17"/>
          <c:tx>
            <c:strRef>
              <c:f>Budget!$E$40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Budget!$F$40:$Q$40</c:f>
              <c:numCache>
                <c:formatCode>_(* #,##0_);_(* \(#,##0\);_(* "-"??_);_(@_)</c:formatCode>
                <c:ptCount val="12"/>
                <c:pt idx="0">
                  <c:v>617</c:v>
                </c:pt>
                <c:pt idx="1">
                  <c:v>341</c:v>
                </c:pt>
                <c:pt idx="2">
                  <c:v>219</c:v>
                </c:pt>
                <c:pt idx="3">
                  <c:v>289</c:v>
                </c:pt>
                <c:pt idx="4">
                  <c:v>506.5</c:v>
                </c:pt>
                <c:pt idx="5">
                  <c:v>166</c:v>
                </c:pt>
                <c:pt idx="6">
                  <c:v>298.3</c:v>
                </c:pt>
                <c:pt idx="7">
                  <c:v>637.20000000000005</c:v>
                </c:pt>
                <c:pt idx="8">
                  <c:v>362.2</c:v>
                </c:pt>
                <c:pt idx="9">
                  <c:v>440.9</c:v>
                </c:pt>
                <c:pt idx="10">
                  <c:v>286.5</c:v>
                </c:pt>
                <c:pt idx="11">
                  <c:v>169.4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3212-450B-A4FC-1DBBFC970964}"/>
            </c:ext>
          </c:extLst>
        </c:ser>
        <c:ser>
          <c:idx val="18"/>
          <c:order val="18"/>
          <c:tx>
            <c:strRef>
              <c:f>Budget!$E$41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Budget!$F$41:$Q$41</c:f>
              <c:numCache>
                <c:formatCode>_(* #,##0_);_(* \(#,##0\);_(* "-"??_);_(@_)</c:formatCode>
                <c:ptCount val="12"/>
                <c:pt idx="0">
                  <c:v>143.4</c:v>
                </c:pt>
                <c:pt idx="1">
                  <c:v>240.1</c:v>
                </c:pt>
                <c:pt idx="2">
                  <c:v>123.3</c:v>
                </c:pt>
                <c:pt idx="3">
                  <c:v>106</c:v>
                </c:pt>
                <c:pt idx="4">
                  <c:v>239.4</c:v>
                </c:pt>
                <c:pt idx="5">
                  <c:v>470</c:v>
                </c:pt>
                <c:pt idx="6">
                  <c:v>341.9</c:v>
                </c:pt>
                <c:pt idx="7">
                  <c:v>727.5</c:v>
                </c:pt>
                <c:pt idx="8">
                  <c:v>685.3</c:v>
                </c:pt>
                <c:pt idx="9">
                  <c:v>269.89999999999998</c:v>
                </c:pt>
                <c:pt idx="10">
                  <c:v>263</c:v>
                </c:pt>
                <c:pt idx="11">
                  <c:v>290.5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3212-450B-A4FC-1DBBFC970964}"/>
            </c:ext>
          </c:extLst>
        </c:ser>
        <c:ser>
          <c:idx val="19"/>
          <c:order val="19"/>
          <c:tx>
            <c:strRef>
              <c:f>Budget!$E$42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Budget!$F$42:$Q$42</c:f>
              <c:numCache>
                <c:formatCode>_(* #,##0_);_(* \(#,##0\);_(* "-"??_);_(@_)</c:formatCode>
                <c:ptCount val="12"/>
                <c:pt idx="0">
                  <c:v>178.7</c:v>
                </c:pt>
                <c:pt idx="1">
                  <c:v>162.9</c:v>
                </c:pt>
                <c:pt idx="2">
                  <c:v>154.4</c:v>
                </c:pt>
                <c:pt idx="3">
                  <c:v>60.7</c:v>
                </c:pt>
                <c:pt idx="4">
                  <c:v>20.9</c:v>
                </c:pt>
                <c:pt idx="5">
                  <c:v>225.5</c:v>
                </c:pt>
                <c:pt idx="6">
                  <c:v>269.39999999999998</c:v>
                </c:pt>
                <c:pt idx="7">
                  <c:v>2</c:v>
                </c:pt>
                <c:pt idx="8">
                  <c:v>36.6</c:v>
                </c:pt>
                <c:pt idx="9">
                  <c:v>5</c:v>
                </c:pt>
                <c:pt idx="10">
                  <c:v>217</c:v>
                </c:pt>
                <c:pt idx="11">
                  <c:v>125.6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12-450B-A4FC-1DBBFC970964}"/>
            </c:ext>
          </c:extLst>
        </c:ser>
        <c:ser>
          <c:idx val="20"/>
          <c:order val="20"/>
          <c:tx>
            <c:strRef>
              <c:f>Budget!$E$43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Budget!$F$43:$Q$43</c:f>
              <c:numCache>
                <c:formatCode>_(* #,##0_);_(* \(#,##0\);_(* "-"??_);_(@_)</c:formatCode>
                <c:ptCount val="12"/>
                <c:pt idx="0">
                  <c:v>264.89999999999998</c:v>
                </c:pt>
                <c:pt idx="1">
                  <c:v>183.8</c:v>
                </c:pt>
                <c:pt idx="2">
                  <c:v>145.69999999999999</c:v>
                </c:pt>
                <c:pt idx="3">
                  <c:v>233.4</c:v>
                </c:pt>
                <c:pt idx="4">
                  <c:v>314.60000000000002</c:v>
                </c:pt>
                <c:pt idx="5">
                  <c:v>336</c:v>
                </c:pt>
                <c:pt idx="6">
                  <c:v>95</c:v>
                </c:pt>
                <c:pt idx="7">
                  <c:v>83</c:v>
                </c:pt>
                <c:pt idx="8">
                  <c:v>72.2</c:v>
                </c:pt>
                <c:pt idx="9">
                  <c:v>101</c:v>
                </c:pt>
                <c:pt idx="10">
                  <c:v>112.7</c:v>
                </c:pt>
                <c:pt idx="11">
                  <c:v>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12-450B-A4FC-1DBBFC970964}"/>
            </c:ext>
          </c:extLst>
        </c:ser>
        <c:ser>
          <c:idx val="21"/>
          <c:order val="21"/>
          <c:tx>
            <c:strRef>
              <c:f>Budget!$E$44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Budget!$F$44:$Q$44</c:f>
              <c:numCache>
                <c:formatCode>_(* #,##0_);_(* \(#,##0\);_(* "-"??_);_(@_)</c:formatCode>
                <c:ptCount val="12"/>
                <c:pt idx="0">
                  <c:v>74.400000000000006</c:v>
                </c:pt>
                <c:pt idx="1">
                  <c:v>94</c:v>
                </c:pt>
                <c:pt idx="2">
                  <c:v>49.2</c:v>
                </c:pt>
                <c:pt idx="3">
                  <c:v>63</c:v>
                </c:pt>
                <c:pt idx="4">
                  <c:v>95.5</c:v>
                </c:pt>
                <c:pt idx="5">
                  <c:v>232.8</c:v>
                </c:pt>
                <c:pt idx="6">
                  <c:v>98.2</c:v>
                </c:pt>
                <c:pt idx="7">
                  <c:v>210</c:v>
                </c:pt>
                <c:pt idx="8">
                  <c:v>163.5</c:v>
                </c:pt>
                <c:pt idx="9">
                  <c:v>216.5</c:v>
                </c:pt>
                <c:pt idx="10">
                  <c:v>273</c:v>
                </c:pt>
                <c:pt idx="11">
                  <c:v>205.5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0-43CE-BF80-F854EF4452BE}"/>
            </c:ext>
          </c:extLst>
        </c:ser>
        <c:ser>
          <c:idx val="22"/>
          <c:order val="22"/>
          <c:tx>
            <c:strRef>
              <c:f>Budget!$E$45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Budget!$F$45:$Q$45</c:f>
              <c:numCache>
                <c:formatCode>_(* #,##0_);_(* \(#,##0\);_(* "-"??_);_(@_)</c:formatCode>
                <c:ptCount val="12"/>
                <c:pt idx="0">
                  <c:v>142.1</c:v>
                </c:pt>
                <c:pt idx="1">
                  <c:v>81.2</c:v>
                </c:pt>
                <c:pt idx="2">
                  <c:v>15.999999999999998</c:v>
                </c:pt>
                <c:pt idx="3">
                  <c:v>33.5</c:v>
                </c:pt>
                <c:pt idx="4">
                  <c:v>137.5</c:v>
                </c:pt>
                <c:pt idx="5">
                  <c:v>65.899999999999991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0-43CE-BF80-F854EF4452BE}"/>
            </c:ext>
          </c:extLst>
        </c:ser>
        <c:ser>
          <c:idx val="23"/>
          <c:order val="23"/>
          <c:tx>
            <c:strRef>
              <c:f>Budget!$E$46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Budget!$F$46:$Q$46</c:f>
              <c:numCache>
                <c:formatCode>_(* #,##0_);_(* \(#,##0\);_(* "-"??_);_(@_)</c:formatCode>
                <c:ptCount val="12"/>
                <c:pt idx="0">
                  <c:v>253.62463768115938</c:v>
                </c:pt>
                <c:pt idx="1">
                  <c:v>215.54565217391308</c:v>
                </c:pt>
                <c:pt idx="2">
                  <c:v>230.97734848484845</c:v>
                </c:pt>
                <c:pt idx="3">
                  <c:v>232.31060606060603</c:v>
                </c:pt>
                <c:pt idx="4">
                  <c:v>327.56893939393933</c:v>
                </c:pt>
                <c:pt idx="5">
                  <c:v>365.05515151515152</c:v>
                </c:pt>
                <c:pt idx="6">
                  <c:v>244.86462560386474</c:v>
                </c:pt>
                <c:pt idx="7">
                  <c:v>187.98560606060616</c:v>
                </c:pt>
                <c:pt idx="8">
                  <c:v>138.96212121212122</c:v>
                </c:pt>
                <c:pt idx="9">
                  <c:v>158.22636363636369</c:v>
                </c:pt>
                <c:pt idx="10">
                  <c:v>191.91553030303029</c:v>
                </c:pt>
                <c:pt idx="11">
                  <c:v>247.39704818029449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40-43CE-BF80-F854EF4452BE}"/>
            </c:ext>
          </c:extLst>
        </c:ser>
        <c:ser>
          <c:idx val="24"/>
          <c:order val="24"/>
          <c:tx>
            <c:strRef>
              <c:f>Budget!$E$45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Budget!$F$22:$P$22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640-43CE-BF80-F854EF445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16335"/>
        <c:axId val="463420495"/>
      </c:lineChart>
      <c:catAx>
        <c:axId val="4634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20495"/>
        <c:crosses val="autoZero"/>
        <c:auto val="1"/>
        <c:lblAlgn val="ctr"/>
        <c:lblOffset val="100"/>
        <c:noMultiLvlLbl val="0"/>
      </c:catAx>
      <c:valAx>
        <c:axId val="4634204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1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467939-12b6-44e3-8b1d-b9710cfa85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742671122540097E-2"/>
          <c:y val="5.0870651477843601E-2"/>
          <c:w val="0.92851458871428305"/>
          <c:h val="0.83434513984721004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Production'!$B$8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47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Production'!$C$8:$AG$8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8-4A46-A33B-53582D07FE6E}"/>
            </c:ext>
          </c:extLst>
        </c:ser>
        <c:ser>
          <c:idx val="0"/>
          <c:order val="3"/>
          <c:tx>
            <c:strRef>
              <c:f>'Graphic Production'!$B$9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Production'!$C$9:$AG$9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8-4A46-A33B-53582D07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2084280"/>
        <c:axId val="192078400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Production'!$B$4</c:f>
              <c:strCache>
                <c:ptCount val="1"/>
                <c:pt idx="0">
                  <c:v>OB Production</c:v>
                </c:pt>
              </c:strCache>
            </c:strRef>
          </c:tx>
          <c:spPr>
            <a:solidFill>
              <a:schemeClr val="bg1">
                <a:lumMod val="65000"/>
                <a:alpha val="47000"/>
              </a:schemeClr>
            </a:solidFill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:spPr>
          <c:invertIfNegative val="0"/>
          <c:val>
            <c:numRef>
              <c:f>'Graphic Production'!$C$4:$AG$4</c:f>
              <c:numCache>
                <c:formatCode>_-* #,##0_-;\-* #,##0_-;_-* "-"??_-;_-@_-</c:formatCode>
                <c:ptCount val="31"/>
                <c:pt idx="0">
                  <c:v>424.5</c:v>
                </c:pt>
                <c:pt idx="1">
                  <c:v>1168.5</c:v>
                </c:pt>
                <c:pt idx="2">
                  <c:v>1930.5</c:v>
                </c:pt>
                <c:pt idx="3">
                  <c:v>1350</c:v>
                </c:pt>
                <c:pt idx="4">
                  <c:v>1917</c:v>
                </c:pt>
                <c:pt idx="5">
                  <c:v>0</c:v>
                </c:pt>
                <c:pt idx="6">
                  <c:v>1809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8-4A46-A33B-53582D07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77224"/>
        <c:axId val="192079576"/>
      </c:barChart>
      <c:lineChart>
        <c:grouping val="standard"/>
        <c:varyColors val="0"/>
        <c:ser>
          <c:idx val="3"/>
          <c:order val="1"/>
          <c:tx>
            <c:strRef>
              <c:f>'Graphic Production'!$B$6</c:f>
              <c:strCache>
                <c:ptCount val="1"/>
                <c:pt idx="0">
                  <c:v>OB Working Hour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CCFF"/>
              </a:solidFill>
            </c:spPr>
          </c:marker>
          <c:val>
            <c:numRef>
              <c:f>'Graphic Production'!$C$6:$AG$6</c:f>
              <c:numCache>
                <c:formatCode>0</c:formatCode>
                <c:ptCount val="31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8-4A46-A33B-53582D07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84280"/>
        <c:axId val="192078400"/>
      </c:lineChart>
      <c:catAx>
        <c:axId val="1920842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8400"/>
        <c:crosses val="autoZero"/>
        <c:auto val="1"/>
        <c:lblAlgn val="ctr"/>
        <c:lblOffset val="100"/>
        <c:noMultiLvlLbl val="0"/>
      </c:catAx>
      <c:valAx>
        <c:axId val="192078400"/>
        <c:scaling>
          <c:orientation val="minMax"/>
          <c:max val="24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4280"/>
        <c:crosses val="autoZero"/>
        <c:crossBetween val="between"/>
        <c:majorUnit val="2"/>
      </c:valAx>
      <c:catAx>
        <c:axId val="192077224"/>
        <c:scaling>
          <c:orientation val="minMax"/>
        </c:scaling>
        <c:delete val="1"/>
        <c:axPos val="b"/>
        <c:majorTickMark val="out"/>
        <c:minorTickMark val="none"/>
        <c:tickLblPos val="nextTo"/>
        <c:crossAx val="192079576"/>
        <c:crosses val="autoZero"/>
        <c:auto val="1"/>
        <c:lblAlgn val="ctr"/>
        <c:lblOffset val="100"/>
        <c:noMultiLvlLbl val="0"/>
      </c:catAx>
      <c:valAx>
        <c:axId val="192079576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7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8.5910475184689694E-2"/>
          <c:y val="4.1239999639220398E-2"/>
          <c:w val="0.83274361747013004"/>
          <c:h val="9.743633899262700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d71702-f93d-47c0-95e7-2f760663c639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742671122540097E-2"/>
          <c:y val="5.0870651477843601E-2"/>
          <c:w val="0.92851458871428305"/>
          <c:h val="0.83434513984721004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Production'!$B$8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Production'!$C$37:$AG$37</c:f>
            </c:numRef>
          </c:val>
          <c:extLst>
            <c:ext xmlns:c16="http://schemas.microsoft.com/office/drawing/2014/chart" uri="{C3380CC4-5D6E-409C-BE32-E72D297353CC}">
              <c16:uniqueId val="{00000000-91ED-4DC5-821E-BD44B435B8DA}"/>
            </c:ext>
          </c:extLst>
        </c:ser>
        <c:ser>
          <c:idx val="0"/>
          <c:order val="3"/>
          <c:tx>
            <c:strRef>
              <c:f>'Graphic Production'!$B$9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Production'!$C$38:$AG$38</c:f>
            </c:numRef>
          </c:val>
          <c:extLst>
            <c:ext xmlns:c16="http://schemas.microsoft.com/office/drawing/2014/chart" uri="{C3380CC4-5D6E-409C-BE32-E72D297353CC}">
              <c16:uniqueId val="{00000001-91ED-4DC5-821E-BD44B435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2078008"/>
        <c:axId val="192078792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Production'!$B$5</c:f>
              <c:strCache>
                <c:ptCount val="1"/>
                <c:pt idx="0">
                  <c:v>ROM Production</c:v>
                </c:pt>
              </c:strCache>
            </c:strRef>
          </c:tx>
          <c:spPr>
            <a:solidFill>
              <a:srgbClr val="66FF66">
                <a:alpha val="60000"/>
              </a:srgbClr>
            </a:solidFill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:spPr>
          <c:invertIfNegative val="0"/>
          <c:val>
            <c:numRef>
              <c:f>'Graphic Production'!$C$34:$AG$34</c:f>
            </c:numRef>
          </c:val>
          <c:extLst>
            <c:ext xmlns:c16="http://schemas.microsoft.com/office/drawing/2014/chart" uri="{C3380CC4-5D6E-409C-BE32-E72D297353CC}">
              <c16:uniqueId val="{00000002-91ED-4DC5-821E-BD44B435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83496"/>
        <c:axId val="192082712"/>
      </c:barChart>
      <c:lineChart>
        <c:grouping val="standard"/>
        <c:varyColors val="0"/>
        <c:ser>
          <c:idx val="3"/>
          <c:order val="1"/>
          <c:tx>
            <c:strRef>
              <c:f>'Graphic Production'!$B$36</c:f>
              <c:strCache>
                <c:ptCount val="1"/>
                <c:pt idx="0">
                  <c:v>ROM Working Hour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3399"/>
              </a:solidFill>
            </c:spPr>
          </c:marker>
          <c:val>
            <c:numRef>
              <c:f>'Graphic Production'!$C$36:$AG$36</c:f>
            </c:numRef>
          </c:val>
          <c:smooth val="0"/>
          <c:extLst>
            <c:ext xmlns:c16="http://schemas.microsoft.com/office/drawing/2014/chart" uri="{C3380CC4-5D6E-409C-BE32-E72D297353CC}">
              <c16:uniqueId val="{00000003-91ED-4DC5-821E-BD44B435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78008"/>
        <c:axId val="192078792"/>
      </c:lineChart>
      <c:catAx>
        <c:axId val="1920780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8792"/>
        <c:crosses val="autoZero"/>
        <c:auto val="1"/>
        <c:lblAlgn val="ctr"/>
        <c:lblOffset val="100"/>
        <c:noMultiLvlLbl val="0"/>
      </c:catAx>
      <c:valAx>
        <c:axId val="192078792"/>
        <c:scaling>
          <c:orientation val="minMax"/>
          <c:max val="24"/>
          <c:min val="0"/>
        </c:scaling>
        <c:delete val="0"/>
        <c:axPos val="l"/>
        <c:majorGridlines/>
        <c:numFmt formatCode="_-* #,##0.00_-;\-* #,##0.0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8008"/>
        <c:crosses val="autoZero"/>
        <c:crossBetween val="between"/>
        <c:majorUnit val="2"/>
      </c:valAx>
      <c:catAx>
        <c:axId val="192083496"/>
        <c:scaling>
          <c:orientation val="minMax"/>
        </c:scaling>
        <c:delete val="1"/>
        <c:axPos val="b"/>
        <c:majorTickMark val="out"/>
        <c:minorTickMark val="none"/>
        <c:tickLblPos val="nextTo"/>
        <c:crossAx val="192082712"/>
        <c:crosses val="autoZero"/>
        <c:auto val="1"/>
        <c:lblAlgn val="ctr"/>
        <c:lblOffset val="100"/>
        <c:noMultiLvlLbl val="0"/>
      </c:catAx>
      <c:valAx>
        <c:axId val="192082712"/>
        <c:scaling>
          <c:orientation val="minMax"/>
          <c:max val="4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3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8.5910475184689694E-2"/>
          <c:y val="4.1239999639220398E-2"/>
          <c:w val="0.83274361747013004"/>
          <c:h val="9.743633899262700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af4dd0-4d00-4945-8e7a-f42e4422d7cd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742671122540097E-2"/>
          <c:y val="5.0870651477843601E-2"/>
          <c:w val="0.92851458871428305"/>
          <c:h val="0.83434513984721004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Production'!$B$8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Production'!$C$37:$AG$37</c:f>
            </c:numRef>
          </c:val>
          <c:extLst>
            <c:ext xmlns:c16="http://schemas.microsoft.com/office/drawing/2014/chart" uri="{C3380CC4-5D6E-409C-BE32-E72D297353CC}">
              <c16:uniqueId val="{00000000-90A4-4571-8003-70BFB121833E}"/>
            </c:ext>
          </c:extLst>
        </c:ser>
        <c:ser>
          <c:idx val="0"/>
          <c:order val="3"/>
          <c:tx>
            <c:strRef>
              <c:f>'Graphic Production'!$B$9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Production'!$C$38:$AG$38</c:f>
            </c:numRef>
          </c:val>
          <c:extLst>
            <c:ext xmlns:c16="http://schemas.microsoft.com/office/drawing/2014/chart" uri="{C3380CC4-5D6E-409C-BE32-E72D297353CC}">
              <c16:uniqueId val="{00000001-90A4-4571-8003-70BFB1218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2079184"/>
        <c:axId val="192083888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Production'!$B$4</c:f>
              <c:strCache>
                <c:ptCount val="1"/>
                <c:pt idx="0">
                  <c:v>OB Production</c:v>
                </c:pt>
              </c:strCache>
            </c:strRef>
          </c:tx>
          <c:spPr>
            <a:solidFill>
              <a:srgbClr val="66FF66">
                <a:alpha val="60000"/>
              </a:srgbClr>
            </a:solidFill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:spPr>
          <c:invertIfNegative val="0"/>
          <c:val>
            <c:numRef>
              <c:f>'Graphic Production'!$C$33:$AG$33</c:f>
            </c:numRef>
          </c:val>
          <c:extLst>
            <c:ext xmlns:c16="http://schemas.microsoft.com/office/drawing/2014/chart" uri="{C3380CC4-5D6E-409C-BE32-E72D297353CC}">
              <c16:uniqueId val="{00000002-90A4-4571-8003-70BFB1218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80360"/>
        <c:axId val="192079968"/>
      </c:barChart>
      <c:lineChart>
        <c:grouping val="standard"/>
        <c:varyColors val="0"/>
        <c:ser>
          <c:idx val="3"/>
          <c:order val="1"/>
          <c:tx>
            <c:strRef>
              <c:f>'Graphic Production'!$B$6</c:f>
              <c:strCache>
                <c:ptCount val="1"/>
                <c:pt idx="0">
                  <c:v>OB Working Hour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3399"/>
              </a:solidFill>
            </c:spPr>
          </c:marker>
          <c:val>
            <c:numRef>
              <c:f>'Graphic Production'!$C$35:$AG$35</c:f>
            </c:numRef>
          </c:val>
          <c:smooth val="0"/>
          <c:extLst>
            <c:ext xmlns:c16="http://schemas.microsoft.com/office/drawing/2014/chart" uri="{C3380CC4-5D6E-409C-BE32-E72D297353CC}">
              <c16:uniqueId val="{00000003-90A4-4571-8003-70BFB1218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79184"/>
        <c:axId val="192083888"/>
      </c:lineChart>
      <c:catAx>
        <c:axId val="1920791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3888"/>
        <c:crosses val="autoZero"/>
        <c:auto val="1"/>
        <c:lblAlgn val="ctr"/>
        <c:lblOffset val="100"/>
        <c:noMultiLvlLbl val="0"/>
      </c:catAx>
      <c:valAx>
        <c:axId val="192083888"/>
        <c:scaling>
          <c:orientation val="minMax"/>
          <c:max val="24"/>
          <c:min val="0"/>
        </c:scaling>
        <c:delete val="0"/>
        <c:axPos val="l"/>
        <c:majorGridlines/>
        <c:numFmt formatCode="_-* #,##0.00_-;\-* #,##0.0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9184"/>
        <c:crosses val="autoZero"/>
        <c:crossBetween val="between"/>
        <c:majorUnit val="2"/>
      </c:valAx>
      <c:catAx>
        <c:axId val="192080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2079968"/>
        <c:crosses val="autoZero"/>
        <c:auto val="1"/>
        <c:lblAlgn val="ctr"/>
        <c:lblOffset val="100"/>
        <c:noMultiLvlLbl val="0"/>
      </c:catAx>
      <c:valAx>
        <c:axId val="19207996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0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8.5910475184689694E-2"/>
          <c:y val="4.1239999639220398E-2"/>
          <c:w val="0.83274361747013004"/>
          <c:h val="9.743633899262700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cfb094-3fc0-469f-a626-e04978260b2b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742671122540097E-2"/>
          <c:y val="5.0870651477843601E-2"/>
          <c:w val="0.92851458871428305"/>
          <c:h val="0.83434513984721004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Production'!$B$8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47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Production'!$C$8:$AG$8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B-447B-8BB9-FB27738F1C52}"/>
            </c:ext>
          </c:extLst>
        </c:ser>
        <c:ser>
          <c:idx val="0"/>
          <c:order val="3"/>
          <c:tx>
            <c:strRef>
              <c:f>'Graphic Production'!$B$9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Production'!$C$9:$AG$9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B-447B-8BB9-FB27738F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2076832"/>
        <c:axId val="192081536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Production'!$B$5</c:f>
              <c:strCache>
                <c:ptCount val="1"/>
                <c:pt idx="0">
                  <c:v>ROM Production</c:v>
                </c:pt>
              </c:strCache>
            </c:strRef>
          </c:tx>
          <c:spPr>
            <a:solidFill>
              <a:srgbClr val="66FF66">
                <a:alpha val="50000"/>
              </a:srgbClr>
            </a:solidFill>
            <a:ln w="38100">
              <a:solidFill>
                <a:srgbClr val="4BACC6">
                  <a:lumMod val="60000"/>
                  <a:lumOff val="40000"/>
                </a:srgbClr>
              </a:solidFill>
            </a:ln>
          </c:spPr>
          <c:invertIfNegative val="0"/>
          <c:val>
            <c:numRef>
              <c:f>'Graphic Production'!$C$5:$AG$5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B-447B-8BB9-FB27738F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744088"/>
        <c:axId val="192077616"/>
      </c:barChart>
      <c:lineChart>
        <c:grouping val="standard"/>
        <c:varyColors val="0"/>
        <c:ser>
          <c:idx val="3"/>
          <c:order val="1"/>
          <c:tx>
            <c:strRef>
              <c:f>'Graphic Production'!$B$7</c:f>
              <c:strCache>
                <c:ptCount val="1"/>
                <c:pt idx="0">
                  <c:v>ROM Working Hour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CCFF"/>
              </a:solidFill>
            </c:spPr>
          </c:marker>
          <c:val>
            <c:numRef>
              <c:f>'Graphic Production'!$C$7:$AG$7</c:f>
              <c:numCache>
                <c:formatCode>0</c:formatCode>
                <c:ptCount val="31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B-447B-8BB9-FB27738F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76832"/>
        <c:axId val="192081536"/>
      </c:lineChart>
      <c:catAx>
        <c:axId val="1920768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1536"/>
        <c:crosses val="autoZero"/>
        <c:auto val="1"/>
        <c:lblAlgn val="ctr"/>
        <c:lblOffset val="100"/>
        <c:noMultiLvlLbl val="0"/>
      </c:catAx>
      <c:valAx>
        <c:axId val="192081536"/>
        <c:scaling>
          <c:orientation val="minMax"/>
          <c:max val="24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6832"/>
        <c:crosses val="autoZero"/>
        <c:crossBetween val="between"/>
        <c:majorUnit val="2"/>
      </c:valAx>
      <c:catAx>
        <c:axId val="192744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92077616"/>
        <c:crosses val="autoZero"/>
        <c:auto val="1"/>
        <c:lblAlgn val="ctr"/>
        <c:lblOffset val="100"/>
        <c:noMultiLvlLbl val="0"/>
      </c:catAx>
      <c:valAx>
        <c:axId val="192077616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4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8.5910475184689694E-2"/>
          <c:y val="4.1239999639220398E-2"/>
          <c:w val="0.83274361747013004"/>
          <c:h val="9.743633899262700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82c691-97ee-43e6-b6bb-076469462727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940970900608495E-2"/>
          <c:y val="3.5204171310555303E-2"/>
          <c:w val="0.85333003794652196"/>
          <c:h val="0.885361364444390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Actual!$C$230</c:f>
              <c:strCache>
                <c:ptCount val="1"/>
                <c:pt idx="0">
                  <c:v>ROM to Stock</c:v>
                </c:pt>
              </c:strCache>
            </c:strRef>
          </c:tx>
          <c:spPr>
            <a:solidFill>
              <a:srgbClr val="0066FF"/>
            </a:solidFill>
          </c:spPr>
          <c:invertIfNegative val="0"/>
          <c:val>
            <c:numRef>
              <c:f>Actual!$E$230:$AI$230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4-459E-969A-50C95A162972}"/>
            </c:ext>
          </c:extLst>
        </c:ser>
        <c:ser>
          <c:idx val="1"/>
          <c:order val="1"/>
          <c:tx>
            <c:strRef>
              <c:f>Actual!$C$233</c:f>
              <c:strCache>
                <c:ptCount val="1"/>
                <c:pt idx="0">
                  <c:v>ROM Direct</c:v>
                </c:pt>
              </c:strCache>
            </c:strRef>
          </c:tx>
          <c:spPr>
            <a:solidFill>
              <a:srgbClr val="FF3399"/>
            </a:solidFill>
          </c:spPr>
          <c:invertIfNegative val="0"/>
          <c:val>
            <c:numRef>
              <c:f>Actual!$E$233:$AI$233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_-* #,##0.00_-;\-* #,##0.00_-;_-* &quot;-&quot;??_-;_-@_-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4-459E-969A-50C95A16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618624"/>
        <c:axId val="191623328"/>
      </c:barChart>
      <c:lineChart>
        <c:grouping val="standard"/>
        <c:varyColors val="0"/>
        <c:ser>
          <c:idx val="2"/>
          <c:order val="2"/>
          <c:tx>
            <c:strRef>
              <c:f>Actual!$C$249</c:f>
              <c:strCache>
                <c:ptCount val="1"/>
                <c:pt idx="0">
                  <c:v>Rainfall </c:v>
                </c:pt>
              </c:strCache>
            </c:strRef>
          </c:tx>
          <c:marker>
            <c:symbol val="none"/>
          </c:marker>
          <c:val>
            <c:numRef>
              <c:f>Actual!$E$249:$AI$249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A4-459E-969A-50C95A162972}"/>
            </c:ext>
          </c:extLst>
        </c:ser>
        <c:ser>
          <c:idx val="3"/>
          <c:order val="3"/>
          <c:tx>
            <c:strRef>
              <c:f>Actual!$C$256</c:f>
              <c:strCache>
                <c:ptCount val="1"/>
                <c:pt idx="0">
                  <c:v>Rainfall Duration</c:v>
                </c:pt>
              </c:strCache>
            </c:strRef>
          </c:tx>
          <c:marker>
            <c:symbol val="none"/>
          </c:marker>
          <c:val>
            <c:numRef>
              <c:f>Actual!$E$256:$AI$256</c:f>
              <c:numCache>
                <c:formatCode>#,##0_ ;\-#,##0\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A4-459E-969A-50C95A16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17840"/>
        <c:axId val="191625288"/>
      </c:lineChart>
      <c:catAx>
        <c:axId val="1916186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3328"/>
        <c:crosses val="autoZero"/>
        <c:auto val="1"/>
        <c:lblAlgn val="ctr"/>
        <c:lblOffset val="100"/>
        <c:noMultiLvlLbl val="0"/>
      </c:catAx>
      <c:valAx>
        <c:axId val="191623328"/>
        <c:scaling>
          <c:orientation val="minMax"/>
        </c:scaling>
        <c:delete val="0"/>
        <c:axPos val="l"/>
        <c:majorGridlines/>
        <c:numFmt formatCode="_-* #,##0.00_-;\-* #,##0.0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624"/>
        <c:crosses val="autoZero"/>
        <c:crossBetween val="between"/>
      </c:valAx>
      <c:catAx>
        <c:axId val="191617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91625288"/>
        <c:crosses val="autoZero"/>
        <c:auto val="1"/>
        <c:lblAlgn val="ctr"/>
        <c:lblOffset val="100"/>
        <c:noMultiLvlLbl val="0"/>
      </c:catAx>
      <c:valAx>
        <c:axId val="191625288"/>
        <c:scaling>
          <c:orientation val="minMax"/>
          <c:max val="200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7840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.27432622631251702"/>
          <c:y val="3.6196248441514402E-2"/>
          <c:w val="0.45134754737496502"/>
          <c:h val="5.95030568599793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7fc226-6081-485a-a58e-7e2b3dc353ab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03795818252196E-2"/>
          <c:y val="0.108471456802578"/>
          <c:w val="0.85685695498589598"/>
          <c:h val="0.814298021416348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Actual!$C$233</c:f>
              <c:strCache>
                <c:ptCount val="1"/>
                <c:pt idx="0">
                  <c:v>ROM Direct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val>
            <c:numRef>
              <c:f>Actual!$E$233:$AI$233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_-* #,##0.00_-;\-* #,##0.00_-;_-* &quot;-&quot;??_-;_-@_-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1-4351-8D15-8710BA1DE136}"/>
            </c:ext>
          </c:extLst>
        </c:ser>
        <c:ser>
          <c:idx val="1"/>
          <c:order val="1"/>
          <c:tx>
            <c:strRef>
              <c:f>Actual!$C$234</c:f>
              <c:strCache>
                <c:ptCount val="1"/>
                <c:pt idx="0">
                  <c:v>ROM Re-Handling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val>
            <c:numRef>
              <c:f>Actual!$E$234:$AI$234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1-4351-8D15-8710BA1DE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624112"/>
        <c:axId val="191618232"/>
      </c:barChart>
      <c:catAx>
        <c:axId val="1916241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232"/>
        <c:crosses val="autoZero"/>
        <c:auto val="1"/>
        <c:lblAlgn val="ctr"/>
        <c:lblOffset val="100"/>
        <c:noMultiLvlLbl val="0"/>
      </c:catAx>
      <c:valAx>
        <c:axId val="19161823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4112"/>
        <c:crosses val="autoZero"/>
        <c:crossBetween val="between"/>
      </c:valAx>
    </c:plotArea>
    <c:legend>
      <c:legendPos val="t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c81bba-3d28-4225-ab9a-7d044e408e3e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00FF"/>
                </a:solidFill>
              </a:rPr>
              <a:t>GRAPH OF PRODUCTION vs RAINFALL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57549231505999"/>
          <c:y val="0.15961255847709299"/>
          <c:w val="0.77145664058696295"/>
          <c:h val="0.67566083406240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Summary!$A$79</c:f>
              <c:strCache>
                <c:ptCount val="1"/>
                <c:pt idx="0">
                  <c:v>ROM Production</c:v>
                </c:pt>
              </c:strCache>
            </c:strRef>
          </c:tx>
          <c:spPr>
            <a:ln w="9525" cap="flat" cmpd="sng" algn="ctr">
              <a:solidFill>
                <a:srgbClr val="0066FF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Summary!$B$78:$AJ$78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Summary!$B$79:$AJ$79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B-48C7-9E4E-B0EB56C4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624504"/>
        <c:axId val="191620584"/>
      </c:barChart>
      <c:lineChart>
        <c:grouping val="standard"/>
        <c:varyColors val="0"/>
        <c:ser>
          <c:idx val="1"/>
          <c:order val="1"/>
          <c:tx>
            <c:strRef>
              <c:f>Summary!$A$80</c:f>
              <c:strCache>
                <c:ptCount val="1"/>
                <c:pt idx="0">
                  <c:v>Rainfall (mm)</c:v>
                </c:pt>
              </c:strCache>
            </c:strRef>
          </c:tx>
          <c:spPr>
            <a:ln w="1587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pPr>
              <a:solidFill>
                <a:srgbClr val="FFFF00"/>
              </a:solidFill>
            </c:spPr>
          </c:marker>
          <c:cat>
            <c:numRef>
              <c:f>Summary!$B$78:$AJ$78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Summary!$B$80:$AJ$80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B-48C7-9E4E-B0EB56C4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20192"/>
        <c:axId val="191619016"/>
      </c:lineChart>
      <c:catAx>
        <c:axId val="191624504"/>
        <c:scaling>
          <c:orientation val="minMax"/>
        </c:scaling>
        <c:delete val="0"/>
        <c:axPos val="b"/>
        <c:title>
          <c:tx>
            <c:rich>
              <a:bodyPr rot="5400000" spcFirstLastPara="0" vertOverflow="ellipsis" vert="horz" wrap="square" anchor="b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00FF"/>
                    </a:solidFill>
                  </a:rPr>
                  <a:t>Rainfall (mm)</a:t>
                </a:r>
              </a:p>
            </c:rich>
          </c:tx>
          <c:layout>
            <c:manualLayout>
              <c:xMode val="edge"/>
              <c:yMode val="edge"/>
              <c:x val="0.93088865434145396"/>
              <c:y val="0.38438215182565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0584"/>
        <c:crosses val="autoZero"/>
        <c:auto val="1"/>
        <c:lblAlgn val="ctr"/>
        <c:lblOffset val="100"/>
        <c:noMultiLvlLbl val="0"/>
      </c:catAx>
      <c:valAx>
        <c:axId val="1916205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00FF"/>
                    </a:solidFill>
                  </a:rPr>
                  <a:t>ROM Coal (Ton)</a:t>
                </a:r>
              </a:p>
            </c:rich>
          </c:tx>
          <c:layout>
            <c:manualLayout>
              <c:xMode val="edge"/>
              <c:yMode val="edge"/>
              <c:x val="1.2224109312413099E-2"/>
              <c:y val="0.3192913357124950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4504"/>
        <c:crosses val="autoZero"/>
        <c:crossBetween val="between"/>
      </c:valAx>
      <c:catAx>
        <c:axId val="19162019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91619016"/>
        <c:crosses val="autoZero"/>
        <c:auto val="1"/>
        <c:lblAlgn val="ctr"/>
        <c:lblOffset val="100"/>
        <c:noMultiLvlLbl val="0"/>
      </c:catAx>
      <c:valAx>
        <c:axId val="191619016"/>
        <c:scaling>
          <c:orientation val="minMax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0192"/>
        <c:crosses val="max"/>
        <c:crossBetween val="between"/>
      </c:valAx>
      <c:spPr>
        <a:gradFill>
          <a:gsLst>
            <a:gs pos="0">
              <a:srgbClr val="4F81BD">
                <a:tint val="66000"/>
                <a:satMod val="160000"/>
                <a:lumMod val="52000"/>
                <a:lumOff val="48000"/>
                <a:alpha val="64000"/>
              </a:srgbClr>
            </a:gs>
            <a:gs pos="52000">
              <a:sysClr val="window" lastClr="FFFFFF">
                <a:lumMod val="0"/>
                <a:lumOff val="100000"/>
                <a:alpha val="46000"/>
              </a:sysClr>
            </a:gs>
            <a:gs pos="100000">
              <a:schemeClr val="accent1">
                <a:lumMod val="40000"/>
                <a:lumOff val="60000"/>
              </a:schemeClr>
            </a:gs>
          </a:gsLst>
          <a:path path="rect">
            <a:fillToRect l="100000" t="100000"/>
          </a:path>
        </a:gradFill>
        <a:ln w="0" cmpd="sng">
          <a:solidFill>
            <a:schemeClr val="tx1"/>
          </a:solidFill>
          <a:prstDash val="solid"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1ddb83-7904-455c-a373-811de310cf3c}"/>
      </c:ext>
    </c:extLst>
  </c:chart>
  <c:spPr>
    <a:effectLst>
      <a:glow>
        <a:schemeClr val="accent1">
          <a:alpha val="40000"/>
        </a:schemeClr>
      </a:glow>
      <a:outerShdw blurRad="50800" dist="50800" dir="5400000" algn="ctr" rotWithShape="0">
        <a:srgbClr val="000000">
          <a:alpha val="82000"/>
        </a:srgbClr>
      </a:outerShdw>
    </a:effectLst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00FF"/>
                </a:solidFill>
              </a:rPr>
              <a:t>GRAPH OF PRODUCTION vs LOSS TIME RAIN</a:t>
            </a:r>
            <a:r>
              <a:rPr lang="en-US" sz="1400" b="1" baseline="0">
                <a:solidFill>
                  <a:srgbClr val="0000FF"/>
                </a:solidFill>
              </a:rPr>
              <a:t> DURATION</a:t>
            </a:r>
            <a:endParaRPr lang="en-US" sz="1400" b="1">
              <a:solidFill>
                <a:srgbClr val="0000FF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66051450666499"/>
          <c:y val="0.14971823133145901"/>
          <c:w val="0.77145664058696295"/>
          <c:h val="0.683569975537834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Summary!$A$84</c:f>
              <c:strCache>
                <c:ptCount val="1"/>
                <c:pt idx="0">
                  <c:v>ROM Production</c:v>
                </c:pt>
              </c:strCache>
            </c:strRef>
          </c:tx>
          <c:spPr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Summary!$B$83:$AJ$83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Summary!$B$84:$AJ$84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1-4E7E-AC2A-120970DE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621368"/>
        <c:axId val="191621760"/>
      </c:barChart>
      <c:lineChart>
        <c:grouping val="standard"/>
        <c:varyColors val="0"/>
        <c:ser>
          <c:idx val="1"/>
          <c:order val="1"/>
          <c:tx>
            <c:strRef>
              <c:f>Summary!$A$85</c:f>
              <c:strCache>
                <c:ptCount val="1"/>
                <c:pt idx="0">
                  <c:v>Rainfall (hr)</c:v>
                </c:pt>
              </c:strCache>
            </c:strRef>
          </c:tx>
          <c:spPr>
            <a:ln w="22225" cap="flat" cmpd="sng" algn="ctr">
              <a:solidFill>
                <a:srgbClr val="BE4B48"/>
              </a:solidFill>
              <a:prstDash val="solid"/>
              <a:round/>
            </a:ln>
            <a:effectLst/>
          </c:spPr>
          <c:marker>
            <c:spPr>
              <a:solidFill>
                <a:srgbClr val="FFFF00"/>
              </a:solidFill>
              <a:ln w="9525" cap="flat" cmpd="sng" algn="ctr">
                <a:solidFill>
                  <a:srgbClr val="BE4B48"/>
                </a:solidFill>
                <a:prstDash val="solid"/>
                <a:round/>
              </a:ln>
            </c:spPr>
          </c:marker>
          <c:cat>
            <c:numRef>
              <c:f>Summary!$B$83:$AJ$83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Summary!$B$85:$AJ$85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1-4E7E-AC2A-120970DE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81928"/>
        <c:axId val="191622152"/>
      </c:lineChart>
      <c:catAx>
        <c:axId val="191621368"/>
        <c:scaling>
          <c:orientation val="minMax"/>
        </c:scaling>
        <c:delete val="0"/>
        <c:axPos val="b"/>
        <c:title>
          <c:tx>
            <c:rich>
              <a:bodyPr rot="5400000" spcFirstLastPara="0" vertOverflow="ellipsis" vert="horz" wrap="square" anchor="b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6">
                        <a:lumMod val="75000"/>
                      </a:schemeClr>
                    </a:solidFill>
                  </a:rPr>
                  <a:t>Rainfall Duration (hr)</a:t>
                </a:r>
              </a:p>
            </c:rich>
          </c:tx>
          <c:layout>
            <c:manualLayout>
              <c:xMode val="edge"/>
              <c:yMode val="edge"/>
              <c:x val="0.943057788754878"/>
              <c:y val="0.43670219512116198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1760"/>
        <c:crosses val="autoZero"/>
        <c:auto val="1"/>
        <c:lblAlgn val="ctr"/>
        <c:lblOffset val="100"/>
        <c:noMultiLvlLbl val="0"/>
      </c:catAx>
      <c:valAx>
        <c:axId val="191621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6">
                        <a:lumMod val="75000"/>
                      </a:schemeClr>
                    </a:solidFill>
                  </a:rPr>
                  <a:t>ROM Coal (Ton)</a:t>
                </a:r>
              </a:p>
            </c:rich>
          </c:tx>
          <c:layout>
            <c:manualLayout>
              <c:xMode val="edge"/>
              <c:yMode val="edge"/>
              <c:x val="1.2224109312413099E-2"/>
              <c:y val="0.3192913357124950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1368"/>
        <c:crosses val="autoZero"/>
        <c:crossBetween val="between"/>
      </c:valAx>
      <c:catAx>
        <c:axId val="19208192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91622152"/>
        <c:crosses val="autoZero"/>
        <c:auto val="1"/>
        <c:lblAlgn val="ctr"/>
        <c:lblOffset val="100"/>
        <c:noMultiLvlLbl val="0"/>
      </c:catAx>
      <c:valAx>
        <c:axId val="191622152"/>
        <c:scaling>
          <c:orientation val="minMax"/>
          <c:max val="25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1928"/>
        <c:crosses val="max"/>
        <c:crossBetween val="between"/>
        <c:majorUnit val="2"/>
      </c:valAx>
      <c:spPr>
        <a:gradFill flip="none" rotWithShape="1">
          <a:gsLst>
            <a:gs pos="0">
              <a:srgbClr val="FF3399">
                <a:tint val="66000"/>
                <a:satMod val="160000"/>
              </a:srgbClr>
            </a:gs>
            <a:gs pos="50000">
              <a:srgbClr val="FF3399">
                <a:tint val="44500"/>
                <a:satMod val="160000"/>
              </a:srgbClr>
            </a:gs>
            <a:gs pos="100000">
              <a:srgbClr val="FF3399">
                <a:tint val="23500"/>
                <a:satMod val="160000"/>
              </a:srgbClr>
            </a:gs>
          </a:gsLst>
          <a:path path="circle">
            <a:fillToRect t="100000" r="100000"/>
          </a:path>
          <a:tileRect l="-100000" b="-100000"/>
        </a:gradFill>
        <a:ln w="0" cmpd="sng">
          <a:solidFill>
            <a:schemeClr val="tx1"/>
          </a:solidFill>
          <a:prstDash val="solid"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0cb5a8-fb0a-44b6-9be7-ed3b36de74f5}"/>
      </c:ext>
    </c:extLst>
  </c:chart>
  <c:spPr>
    <a:effectLst>
      <a:glow>
        <a:schemeClr val="accent1">
          <a:alpha val="40000"/>
        </a:schemeClr>
      </a:glow>
      <a:outerShdw blurRad="50800" dist="50800" dir="5400000" algn="ctr" rotWithShape="0">
        <a:srgbClr val="000000">
          <a:alpha val="82000"/>
        </a:srgbClr>
      </a:outerShdw>
    </a:effectLst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10.xml"/><Relationship Id="rId18" Type="http://schemas.openxmlformats.org/officeDocument/2006/relationships/chart" Target="../charts/chart15.xml"/><Relationship Id="rId3" Type="http://schemas.openxmlformats.org/officeDocument/2006/relationships/image" Target="../media/image3.emf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17" Type="http://schemas.openxmlformats.org/officeDocument/2006/relationships/chart" Target="../charts/chart14.xml"/><Relationship Id="rId2" Type="http://schemas.openxmlformats.org/officeDocument/2006/relationships/image" Target="../media/image2.png"/><Relationship Id="rId16" Type="http://schemas.openxmlformats.org/officeDocument/2006/relationships/chart" Target="../charts/chart13.xml"/><Relationship Id="rId20" Type="http://schemas.openxmlformats.org/officeDocument/2006/relationships/chart" Target="../charts/chart17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5" Type="http://schemas.openxmlformats.org/officeDocument/2006/relationships/chart" Target="../charts/chart12.xml"/><Relationship Id="rId10" Type="http://schemas.openxmlformats.org/officeDocument/2006/relationships/chart" Target="../charts/chart7.xml"/><Relationship Id="rId19" Type="http://schemas.openxmlformats.org/officeDocument/2006/relationships/chart" Target="../charts/chart16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chart" Target="../charts/chart1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380365</xdr:colOff>
      <xdr:row>5</xdr:row>
      <xdr:rowOff>160020</xdr:rowOff>
    </xdr:from>
    <xdr:to>
      <xdr:col>8</xdr:col>
      <xdr:colOff>22860</xdr:colOff>
      <xdr:row>7</xdr:row>
      <xdr:rowOff>22860</xdr:rowOff>
    </xdr:to>
    <xdr:sp macro="" textlink="">
      <xdr:nvSpPr>
        <xdr:cNvPr id="9" name="Rectangle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26160" y="929640"/>
          <a:ext cx="3101975" cy="228600"/>
        </a:xfrm>
        <a:prstGeom prst="rect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19</xdr:col>
      <xdr:colOff>15239</xdr:colOff>
      <xdr:row>5</xdr:row>
      <xdr:rowOff>99060</xdr:rowOff>
    </xdr:to>
    <xdr:pic>
      <xdr:nvPicPr>
        <xdr:cNvPr id="4" name="Picture 3" descr="Abstract Image" title="Banner 1">
          <a:extLst>
            <a:ext uri="{FF2B5EF4-FFF2-40B4-BE49-F238E27FC236}">
              <a16:creationId xmlns:a16="http://schemas.microsoft.com/office/drawing/2014/main" id="{FC73D931-EA4F-9E8D-3A5E-35D762688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9600" y="182880"/>
          <a:ext cx="7551419" cy="685800"/>
        </a:xfrm>
        <a:prstGeom prst="rect">
          <a:avLst/>
        </a:prstGeom>
      </xdr:spPr>
    </xdr:pic>
    <xdr:clientData/>
  </xdr:twoCellAnchor>
  <xdr:twoCellAnchor>
    <xdr:from>
      <xdr:col>4</xdr:col>
      <xdr:colOff>586740</xdr:colOff>
      <xdr:row>2</xdr:row>
      <xdr:rowOff>104504</xdr:rowOff>
    </xdr:from>
    <xdr:to>
      <xdr:col>16</xdr:col>
      <xdr:colOff>250575</xdr:colOff>
      <xdr:row>4</xdr:row>
      <xdr:rowOff>146234</xdr:rowOff>
    </xdr:to>
    <xdr:sp macro="" textlink="$C$3">
      <xdr:nvSpPr>
        <xdr:cNvPr id="5" name="TextBox 4">
          <a:extLst>
            <a:ext uri="{FF2B5EF4-FFF2-40B4-BE49-F238E27FC236}">
              <a16:creationId xmlns:a16="http://schemas.microsoft.com/office/drawing/2014/main" id="{A75A4705-C9FF-E089-238A-1E9E9F192D0F}"/>
            </a:ext>
          </a:extLst>
        </xdr:cNvPr>
        <xdr:cNvSpPr txBox="1"/>
      </xdr:nvSpPr>
      <xdr:spPr>
        <a:xfrm>
          <a:off x="2240280" y="333104"/>
          <a:ext cx="5721735" cy="407490"/>
        </a:xfrm>
        <a:prstGeom prst="rect">
          <a:avLst/>
        </a:prstGeom>
        <a:noFill/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2400" b="1">
              <a:solidFill>
                <a:schemeClr val="bg1"/>
              </a:solidFill>
              <a:latin typeface="Arial Rounded MT Bold" panose="020F0704030504030204" pitchFamily="34" charset="0"/>
            </a:rPr>
            <a:t>JORONG</a:t>
          </a:r>
          <a:r>
            <a:rPr lang="en-US" sz="2400" b="1" baseline="0">
              <a:solidFill>
                <a:schemeClr val="bg1"/>
              </a:solidFill>
              <a:latin typeface="Arial Rounded MT Bold" panose="020F0704030504030204" pitchFamily="34" charset="0"/>
            </a:rPr>
            <a:t> PRODUCTION DASHBOARD</a:t>
          </a:r>
        </a:p>
      </xdr:txBody>
    </xdr:sp>
    <xdr:clientData/>
  </xdr:twoCellAnchor>
  <xdr:twoCellAnchor>
    <xdr:from>
      <xdr:col>2</xdr:col>
      <xdr:colOff>60252</xdr:colOff>
      <xdr:row>2</xdr:row>
      <xdr:rowOff>82197</xdr:rowOff>
    </xdr:from>
    <xdr:to>
      <xdr:col>4</xdr:col>
      <xdr:colOff>217912</xdr:colOff>
      <xdr:row>4</xdr:row>
      <xdr:rowOff>109147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AFD7C6-D508-12F8-AEDB-7A34AB6C0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7952" y="303177"/>
          <a:ext cx="1163500" cy="392710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24</xdr:row>
          <xdr:rowOff>1</xdr:rowOff>
        </xdr:from>
        <xdr:to>
          <xdr:col>5</xdr:col>
          <xdr:colOff>49180</xdr:colOff>
          <xdr:row>27</xdr:row>
          <xdr:rowOff>60961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B6D0F24-7228-007C-6002-A113B2F52D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Weat_Ico" spid="_x0000_s6967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93669" y="3472544"/>
              <a:ext cx="719740" cy="6161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36</xdr:col>
      <xdr:colOff>373997</xdr:colOff>
      <xdr:row>26</xdr:row>
      <xdr:rowOff>126563</xdr:rowOff>
    </xdr:from>
    <xdr:to>
      <xdr:col>39</xdr:col>
      <xdr:colOff>379114</xdr:colOff>
      <xdr:row>34</xdr:row>
      <xdr:rowOff>129827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7DB52CF-E477-308A-C4E2-5ADF2AAED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372389</xdr:colOff>
      <xdr:row>34</xdr:row>
      <xdr:rowOff>156046</xdr:rowOff>
    </xdr:from>
    <xdr:to>
      <xdr:col>39</xdr:col>
      <xdr:colOff>377506</xdr:colOff>
      <xdr:row>43</xdr:row>
      <xdr:rowOff>80319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41D2414-1D50-8089-F07E-8BDD1CF1D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354330</xdr:colOff>
      <xdr:row>43</xdr:row>
      <xdr:rowOff>100329</xdr:rowOff>
    </xdr:from>
    <xdr:to>
      <xdr:col>39</xdr:col>
      <xdr:colOff>359447</xdr:colOff>
      <xdr:row>58</xdr:row>
      <xdr:rowOff>146588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C756256-A379-3497-FFB3-B04D942BE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372520</xdr:colOff>
      <xdr:row>58</xdr:row>
      <xdr:rowOff>178529</xdr:rowOff>
    </xdr:from>
    <xdr:to>
      <xdr:col>39</xdr:col>
      <xdr:colOff>377637</xdr:colOff>
      <xdr:row>65</xdr:row>
      <xdr:rowOff>90895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2698209-521B-A10B-B734-2E3DEF2CB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373997</xdr:colOff>
      <xdr:row>19</xdr:row>
      <xdr:rowOff>65603</xdr:rowOff>
    </xdr:from>
    <xdr:to>
      <xdr:col>38</xdr:col>
      <xdr:colOff>379114</xdr:colOff>
      <xdr:row>27</xdr:row>
      <xdr:rowOff>68867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161482B-2F01-7400-D163-C0F717EBF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372389</xdr:colOff>
      <xdr:row>27</xdr:row>
      <xdr:rowOff>95086</xdr:rowOff>
    </xdr:from>
    <xdr:to>
      <xdr:col>38</xdr:col>
      <xdr:colOff>377506</xdr:colOff>
      <xdr:row>35</xdr:row>
      <xdr:rowOff>80319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7000BDF-77FE-7888-FA30-FA3711092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354330</xdr:colOff>
      <xdr:row>35</xdr:row>
      <xdr:rowOff>100329</xdr:rowOff>
    </xdr:from>
    <xdr:to>
      <xdr:col>38</xdr:col>
      <xdr:colOff>359447</xdr:colOff>
      <xdr:row>44</xdr:row>
      <xdr:rowOff>1808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8E66B89-64A1-FC2C-C0F6-0E7C3DE80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372520</xdr:colOff>
      <xdr:row>44</xdr:row>
      <xdr:rowOff>33749</xdr:rowOff>
    </xdr:from>
    <xdr:to>
      <xdr:col>38</xdr:col>
      <xdr:colOff>377637</xdr:colOff>
      <xdr:row>59</xdr:row>
      <xdr:rowOff>90895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332A6F6-3045-F4ED-D0D1-99716CE45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45720</xdr:colOff>
      <xdr:row>37</xdr:row>
      <xdr:rowOff>38100</xdr:rowOff>
    </xdr:from>
    <xdr:to>
      <xdr:col>17</xdr:col>
      <xdr:colOff>769620</xdr:colOff>
      <xdr:row>54</xdr:row>
      <xdr:rowOff>20324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CA286DB-E288-C7A6-D5FA-E94FC05D0717}"/>
            </a:ext>
          </a:extLst>
        </xdr:cNvPr>
        <xdr:cNvGrpSpPr/>
      </xdr:nvGrpSpPr>
      <xdr:grpSpPr>
        <a:xfrm>
          <a:off x="7796349" y="5676900"/>
          <a:ext cx="1605642" cy="2529481"/>
          <a:chOff x="6696963" y="6224135"/>
          <a:chExt cx="1906495" cy="2854097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254FC07E-55EC-30D2-FCBE-B1C6FF23717A}"/>
              </a:ext>
            </a:extLst>
          </xdr:cNvPr>
          <xdr:cNvGrpSpPr/>
        </xdr:nvGrpSpPr>
        <xdr:grpSpPr>
          <a:xfrm>
            <a:off x="6703313" y="6367141"/>
            <a:ext cx="1898561" cy="1389391"/>
            <a:chOff x="6703313" y="5875009"/>
            <a:chExt cx="1898561" cy="1389391"/>
          </a:xfrm>
        </xdr:grpSpPr>
        <xdr:grpSp>
          <xdr:nvGrpSpPr>
            <xdr:cNvPr id="50" name="Group 49">
              <a:extLst>
                <a:ext uri="{FF2B5EF4-FFF2-40B4-BE49-F238E27FC236}">
                  <a16:creationId xmlns:a16="http://schemas.microsoft.com/office/drawing/2014/main" id="{2685D336-1963-8131-F2EE-3433AE53FC99}"/>
                </a:ext>
              </a:extLst>
            </xdr:cNvPr>
            <xdr:cNvGrpSpPr/>
          </xdr:nvGrpSpPr>
          <xdr:grpSpPr>
            <a:xfrm>
              <a:off x="6719284" y="6064906"/>
              <a:ext cx="1882590" cy="1199494"/>
              <a:chOff x="8127375" y="1699126"/>
              <a:chExt cx="1248834" cy="976289"/>
            </a:xfrm>
          </xdr:grpSpPr>
          <xdr:graphicFrame macro="">
            <xdr:nvGraphicFramePr>
              <xdr:cNvPr id="52" name="Chart 51">
                <a:extLst>
                  <a:ext uri="{FF2B5EF4-FFF2-40B4-BE49-F238E27FC236}">
                    <a16:creationId xmlns:a16="http://schemas.microsoft.com/office/drawing/2014/main" id="{86D114D7-7A8F-B6FC-D8A6-406C8F92F2B3}"/>
                  </a:ext>
                </a:extLst>
              </xdr:cNvPr>
              <xdr:cNvGraphicFramePr/>
            </xdr:nvGraphicFramePr>
            <xdr:xfrm>
              <a:off x="8127375" y="1699126"/>
              <a:ext cx="1248834" cy="9762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  <xdr:sp macro="" textlink="">
            <xdr:nvSpPr>
              <xdr:cNvPr id="53" name="Oval 52">
                <a:extLst>
                  <a:ext uri="{FF2B5EF4-FFF2-40B4-BE49-F238E27FC236}">
                    <a16:creationId xmlns:a16="http://schemas.microsoft.com/office/drawing/2014/main" id="{1C2F7115-D232-E2B0-CC27-C056E0BCCC8A}"/>
                  </a:ext>
                </a:extLst>
              </xdr:cNvPr>
              <xdr:cNvSpPr/>
            </xdr:nvSpPr>
            <xdr:spPr>
              <a:xfrm>
                <a:off x="8603772" y="2004680"/>
                <a:ext cx="301299" cy="359340"/>
              </a:xfrm>
              <a:prstGeom prst="ellipse">
                <a:avLst/>
              </a:prstGeom>
              <a:solidFill>
                <a:schemeClr val="bg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lIns="0" tIns="0" rIns="0" bIns="0" rtlCol="0" anchor="ctr"/>
              <a:lstStyle>
                <a:defPPr>
                  <a:defRPr lang="en-GB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050" b="1" i="0" u="none" strike="noStrike">
                    <a:solidFill>
                      <a:srgbClr val="000000"/>
                    </a:solidFill>
                    <a:latin typeface="Calibri" panose="020F0502020204030204"/>
                    <a:cs typeface="Calibri" panose="020F0502020204030204"/>
                  </a:rPr>
                  <a:t>0%</a:t>
                </a:r>
                <a:endParaRPr lang="en-US" sz="600" b="1"/>
              </a:p>
            </xdr:txBody>
          </xdr:sp>
        </xdr:grpSp>
        <xdr:sp macro="" textlink="">
          <xdr:nvSpPr>
            <xdr:cNvPr id="51" name="TextBox 45">
              <a:extLst>
                <a:ext uri="{FF2B5EF4-FFF2-40B4-BE49-F238E27FC236}">
                  <a16:creationId xmlns:a16="http://schemas.microsoft.com/office/drawing/2014/main" id="{E39984E0-8A88-9EDD-21C8-D3343C634F07}"/>
                </a:ext>
              </a:extLst>
            </xdr:cNvPr>
            <xdr:cNvSpPr txBox="1"/>
          </xdr:nvSpPr>
          <xdr:spPr>
            <a:xfrm>
              <a:off x="6703313" y="5875009"/>
              <a:ext cx="1884065" cy="3335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0" baseline="0">
                  <a:solidFill>
                    <a:srgbClr val="002060"/>
                  </a:solidFill>
                </a:rPr>
                <a:t>Waste Removal</a:t>
              </a:r>
              <a:endParaRPr lang="en-US" sz="1200" b="0">
                <a:solidFill>
                  <a:srgbClr val="002060"/>
                </a:solidFill>
              </a:endParaRP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A19A15D7-69A6-1DE8-3D86-65D6299C1CAD}"/>
              </a:ext>
            </a:extLst>
          </xdr:cNvPr>
          <xdr:cNvGrpSpPr/>
        </xdr:nvGrpSpPr>
        <xdr:grpSpPr>
          <a:xfrm>
            <a:off x="6696963" y="7646667"/>
            <a:ext cx="1906495" cy="1389398"/>
            <a:chOff x="6696963" y="7154535"/>
            <a:chExt cx="1906495" cy="1389398"/>
          </a:xfrm>
        </xdr:grpSpPr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29D0AEEB-29C8-053D-B907-2D77F2D181D6}"/>
                </a:ext>
              </a:extLst>
            </xdr:cNvPr>
            <xdr:cNvGrpSpPr/>
          </xdr:nvGrpSpPr>
          <xdr:grpSpPr>
            <a:xfrm>
              <a:off x="6720870" y="7344439"/>
              <a:ext cx="1882588" cy="1199494"/>
              <a:chOff x="8127377" y="1699126"/>
              <a:chExt cx="1248833" cy="976289"/>
            </a:xfrm>
          </xdr:grpSpPr>
          <xdr:graphicFrame macro="">
            <xdr:nvGraphicFramePr>
              <xdr:cNvPr id="48" name="Chart 47">
                <a:extLst>
                  <a:ext uri="{FF2B5EF4-FFF2-40B4-BE49-F238E27FC236}">
                    <a16:creationId xmlns:a16="http://schemas.microsoft.com/office/drawing/2014/main" id="{2E72EC35-52A4-CFD3-5B1F-62705B9E6E97}"/>
                  </a:ext>
                </a:extLst>
              </xdr:cNvPr>
              <xdr:cNvGraphicFramePr/>
            </xdr:nvGraphicFramePr>
            <xdr:xfrm>
              <a:off x="8127377" y="1699126"/>
              <a:ext cx="1248833" cy="9762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sp macro="" textlink="">
            <xdr:nvSpPr>
              <xdr:cNvPr id="49" name="Oval 48">
                <a:extLst>
                  <a:ext uri="{FF2B5EF4-FFF2-40B4-BE49-F238E27FC236}">
                    <a16:creationId xmlns:a16="http://schemas.microsoft.com/office/drawing/2014/main" id="{2A0055E7-9E0A-ADFA-40BC-E655A3600DC0}"/>
                  </a:ext>
                </a:extLst>
              </xdr:cNvPr>
              <xdr:cNvSpPr/>
            </xdr:nvSpPr>
            <xdr:spPr>
              <a:xfrm>
                <a:off x="8595510" y="2004679"/>
                <a:ext cx="307338" cy="360536"/>
              </a:xfrm>
              <a:prstGeom prst="ellipse">
                <a:avLst/>
              </a:prstGeom>
              <a:solidFill>
                <a:schemeClr val="bg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lIns="0" tIns="0" rIns="0" bIns="0" rtlCol="0" anchor="ctr"/>
              <a:lstStyle>
                <a:defPPr>
                  <a:defRPr lang="en-GB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 i="0" u="none" strike="noStrike">
                    <a:solidFill>
                      <a:srgbClr val="000000"/>
                    </a:solidFill>
                    <a:latin typeface="Calibri" panose="020F0502020204030204"/>
                    <a:cs typeface="Calibri" panose="020F0502020204030204"/>
                  </a:rPr>
                  <a:t>0%</a:t>
                </a:r>
                <a:endParaRPr lang="en-US" sz="700" b="1"/>
              </a:p>
            </xdr:txBody>
          </xdr:sp>
        </xdr:grp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EFE5343D-46B2-F90B-C548-62062D783E0B}"/>
                </a:ext>
              </a:extLst>
            </xdr:cNvPr>
            <xdr:cNvSpPr txBox="1"/>
          </xdr:nvSpPr>
          <xdr:spPr>
            <a:xfrm>
              <a:off x="6696963" y="7154535"/>
              <a:ext cx="1884065" cy="3335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0" baseline="0">
                  <a:solidFill>
                    <a:srgbClr val="002060"/>
                  </a:solidFill>
                </a:rPr>
                <a:t>ROM Production</a:t>
              </a:r>
              <a:endParaRPr lang="en-US" sz="1200" b="0">
                <a:solidFill>
                  <a:srgbClr val="002060"/>
                </a:solidFill>
              </a:endParaRPr>
            </a:p>
          </xdr:txBody>
        </xdr:sp>
      </xdr:grp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81281984-A25A-7C59-ED9F-2F73B482B4CA}"/>
              </a:ext>
            </a:extLst>
          </xdr:cNvPr>
          <xdr:cNvSpPr/>
        </xdr:nvSpPr>
        <xdr:spPr>
          <a:xfrm>
            <a:off x="6896555" y="6224135"/>
            <a:ext cx="1522866" cy="2854097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GB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53340</xdr:colOff>
      <xdr:row>7</xdr:row>
      <xdr:rowOff>167640</xdr:rowOff>
    </xdr:from>
    <xdr:to>
      <xdr:col>17</xdr:col>
      <xdr:colOff>792480</xdr:colOff>
      <xdr:row>36</xdr:row>
      <xdr:rowOff>167640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4DB4239C-3FCA-295A-A5C0-B3A431BCBD63}"/>
            </a:ext>
          </a:extLst>
        </xdr:cNvPr>
        <xdr:cNvGrpSpPr/>
      </xdr:nvGrpSpPr>
      <xdr:grpSpPr>
        <a:xfrm>
          <a:off x="7803969" y="1332411"/>
          <a:ext cx="1620882" cy="4288972"/>
          <a:chOff x="13882309" y="370113"/>
          <a:chExt cx="1884048" cy="5225143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7892F15B-A107-1FCD-52B8-A89164075C65}"/>
              </a:ext>
            </a:extLst>
          </xdr:cNvPr>
          <xdr:cNvGrpSpPr/>
        </xdr:nvGrpSpPr>
        <xdr:grpSpPr>
          <a:xfrm>
            <a:off x="13902089" y="536543"/>
            <a:ext cx="1844488" cy="1355872"/>
            <a:chOff x="8877942" y="1320314"/>
            <a:chExt cx="1844488" cy="1355872"/>
          </a:xfrm>
        </xdr:grpSpPr>
        <xdr:grpSp>
          <xdr:nvGrpSpPr>
            <xdr:cNvPr id="72" name="Group 71">
              <a:extLst>
                <a:ext uri="{FF2B5EF4-FFF2-40B4-BE49-F238E27FC236}">
                  <a16:creationId xmlns:a16="http://schemas.microsoft.com/office/drawing/2014/main" id="{75EA4695-8E01-5616-3191-1AF190F02338}"/>
                </a:ext>
              </a:extLst>
            </xdr:cNvPr>
            <xdr:cNvGrpSpPr/>
          </xdr:nvGrpSpPr>
          <xdr:grpSpPr>
            <a:xfrm>
              <a:off x="8877942" y="1453786"/>
              <a:ext cx="1844488" cy="1222400"/>
              <a:chOff x="8127377" y="1699126"/>
              <a:chExt cx="1248833" cy="976289"/>
            </a:xfrm>
          </xdr:grpSpPr>
          <xdr:graphicFrame macro="">
            <xdr:nvGraphicFramePr>
              <xdr:cNvPr id="74" name="Chart 73">
                <a:extLst>
                  <a:ext uri="{FF2B5EF4-FFF2-40B4-BE49-F238E27FC236}">
                    <a16:creationId xmlns:a16="http://schemas.microsoft.com/office/drawing/2014/main" id="{A71A6C40-1312-A18C-94AE-0A4EF2B7FC02}"/>
                  </a:ext>
                </a:extLst>
              </xdr:cNvPr>
              <xdr:cNvGraphicFramePr/>
            </xdr:nvGraphicFramePr>
            <xdr:xfrm>
              <a:off x="8127377" y="1699126"/>
              <a:ext cx="1248833" cy="9762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  <xdr:sp macro="" textlink="">
            <xdr:nvSpPr>
              <xdr:cNvPr id="75" name="Oval 74">
                <a:extLst>
                  <a:ext uri="{FF2B5EF4-FFF2-40B4-BE49-F238E27FC236}">
                    <a16:creationId xmlns:a16="http://schemas.microsoft.com/office/drawing/2014/main" id="{F2F9D275-9C06-E0C0-9F56-CB5A52685BCE}"/>
                  </a:ext>
                </a:extLst>
              </xdr:cNvPr>
              <xdr:cNvSpPr/>
            </xdr:nvSpPr>
            <xdr:spPr>
              <a:xfrm>
                <a:off x="8599033" y="2004846"/>
                <a:ext cx="305240" cy="360536"/>
              </a:xfrm>
              <a:prstGeom prst="ellipse">
                <a:avLst/>
              </a:prstGeom>
              <a:solidFill>
                <a:schemeClr val="bg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lIns="0" tIns="0" rIns="0" bIns="0" rtlCol="0" anchor="ctr"/>
              <a:lstStyle>
                <a:defPPr>
                  <a:defRPr lang="en-GB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 i="0" u="none" strike="noStrike">
                    <a:solidFill>
                      <a:srgbClr val="000000"/>
                    </a:solidFill>
                    <a:latin typeface="Calibri" panose="020F0502020204030204"/>
                    <a:cs typeface="Calibri" panose="020F0502020204030204"/>
                  </a:rPr>
                  <a:t>0%</a:t>
                </a:r>
                <a:endParaRPr lang="en-US" sz="700" b="1"/>
              </a:p>
            </xdr:txBody>
          </xdr:sp>
        </xdr:grpSp>
        <xdr:sp macro="" textlink="">
          <xdr:nvSpPr>
            <xdr:cNvPr id="73" name="TextBox 20">
              <a:extLst>
                <a:ext uri="{FF2B5EF4-FFF2-40B4-BE49-F238E27FC236}">
                  <a16:creationId xmlns:a16="http://schemas.microsoft.com/office/drawing/2014/main" id="{EC593446-6D7F-8D85-521C-7EFE2AF22504}"/>
                </a:ext>
              </a:extLst>
            </xdr:cNvPr>
            <xdr:cNvSpPr txBox="1"/>
          </xdr:nvSpPr>
          <xdr:spPr>
            <a:xfrm>
              <a:off x="9107895" y="1320314"/>
              <a:ext cx="1351235" cy="3370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0" baseline="0">
                  <a:solidFill>
                    <a:srgbClr val="002060"/>
                  </a:solidFill>
                </a:rPr>
                <a:t>Waste Removal</a:t>
              </a:r>
              <a:endParaRPr lang="en-US" sz="1200" b="0">
                <a:solidFill>
                  <a:srgbClr val="002060"/>
                </a:solidFill>
              </a:endParaRPr>
            </a:p>
          </xdr:txBody>
        </xdr:sp>
      </xdr:grpSp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0D43B42B-8146-91A1-1523-5C51FA563C7C}"/>
              </a:ext>
            </a:extLst>
          </xdr:cNvPr>
          <xdr:cNvGrpSpPr/>
        </xdr:nvGrpSpPr>
        <xdr:grpSpPr>
          <a:xfrm>
            <a:off x="13900472" y="1775959"/>
            <a:ext cx="1847722" cy="1347044"/>
            <a:chOff x="8892230" y="2471461"/>
            <a:chExt cx="1847722" cy="1347044"/>
          </a:xfrm>
        </xdr:grpSpPr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F4F0438C-35E4-0F73-740D-773744C3FA30}"/>
                </a:ext>
              </a:extLst>
            </xdr:cNvPr>
            <xdr:cNvGrpSpPr/>
          </xdr:nvGrpSpPr>
          <xdr:grpSpPr>
            <a:xfrm>
              <a:off x="8892230" y="2614135"/>
              <a:ext cx="1844488" cy="1204370"/>
              <a:chOff x="8127377" y="1699126"/>
              <a:chExt cx="1248833" cy="976289"/>
            </a:xfrm>
          </xdr:grpSpPr>
          <xdr:graphicFrame macro="">
            <xdr:nvGraphicFramePr>
              <xdr:cNvPr id="70" name="Chart 69">
                <a:extLst>
                  <a:ext uri="{FF2B5EF4-FFF2-40B4-BE49-F238E27FC236}">
                    <a16:creationId xmlns:a16="http://schemas.microsoft.com/office/drawing/2014/main" id="{D04BE76B-396D-4F20-ECA1-E1B386FD01EB}"/>
                  </a:ext>
                </a:extLst>
              </xdr:cNvPr>
              <xdr:cNvGraphicFramePr/>
            </xdr:nvGraphicFramePr>
            <xdr:xfrm>
              <a:off x="8127377" y="1699126"/>
              <a:ext cx="1248833" cy="9762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sp macro="" textlink="">
            <xdr:nvSpPr>
              <xdr:cNvPr id="71" name="Oval 70">
                <a:extLst>
                  <a:ext uri="{FF2B5EF4-FFF2-40B4-BE49-F238E27FC236}">
                    <a16:creationId xmlns:a16="http://schemas.microsoft.com/office/drawing/2014/main" id="{BD39684A-A020-443F-AC02-6B4EAD53BC17}"/>
                  </a:ext>
                </a:extLst>
              </xdr:cNvPr>
              <xdr:cNvSpPr/>
            </xdr:nvSpPr>
            <xdr:spPr>
              <a:xfrm>
                <a:off x="8595510" y="2011138"/>
                <a:ext cx="315236" cy="360536"/>
              </a:xfrm>
              <a:prstGeom prst="ellipse">
                <a:avLst/>
              </a:prstGeom>
              <a:solidFill>
                <a:schemeClr val="bg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lIns="0" tIns="0" rIns="0" bIns="0" rtlCol="0" anchor="ctr"/>
              <a:lstStyle>
                <a:defPPr>
                  <a:defRPr lang="en-GB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 i="0" u="none" strike="noStrike">
                    <a:solidFill>
                      <a:srgbClr val="000000"/>
                    </a:solidFill>
                    <a:latin typeface="Calibri" panose="020F0502020204030204"/>
                    <a:cs typeface="Calibri" panose="020F0502020204030204"/>
                  </a:rPr>
                  <a:t>0%</a:t>
                </a:r>
                <a:endParaRPr lang="en-US" sz="700" b="1"/>
              </a:p>
            </xdr:txBody>
          </xdr:sp>
        </xdr:grpSp>
        <xdr:sp macro="" textlink="">
          <xdr:nvSpPr>
            <xdr:cNvPr id="69" name="TextBox 21">
              <a:extLst>
                <a:ext uri="{FF2B5EF4-FFF2-40B4-BE49-F238E27FC236}">
                  <a16:creationId xmlns:a16="http://schemas.microsoft.com/office/drawing/2014/main" id="{128B8C7C-BD79-D347-3707-B1DF64F1A380}"/>
                </a:ext>
              </a:extLst>
            </xdr:cNvPr>
            <xdr:cNvSpPr txBox="1"/>
          </xdr:nvSpPr>
          <xdr:spPr>
            <a:xfrm>
              <a:off x="8896088" y="2471461"/>
              <a:ext cx="1843864" cy="3327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0" baseline="0">
                  <a:solidFill>
                    <a:srgbClr val="002060"/>
                  </a:solidFill>
                </a:rPr>
                <a:t>ROM Production</a:t>
              </a:r>
              <a:endParaRPr lang="en-US" sz="1200" b="0">
                <a:solidFill>
                  <a:srgbClr val="002060"/>
                </a:solidFill>
              </a:endParaRPr>
            </a:p>
          </xdr:txBody>
        </xdr:sp>
      </xdr:grpSp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CA59249B-E1E9-A870-9CCF-1A942455ECA7}"/>
              </a:ext>
            </a:extLst>
          </xdr:cNvPr>
          <xdr:cNvGrpSpPr/>
        </xdr:nvGrpSpPr>
        <xdr:grpSpPr>
          <a:xfrm>
            <a:off x="13882309" y="3006547"/>
            <a:ext cx="1884048" cy="1318043"/>
            <a:chOff x="8882704" y="3631895"/>
            <a:chExt cx="1884048" cy="1318043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89C5B060-84D7-5752-B27A-04C3027EF02A}"/>
                </a:ext>
              </a:extLst>
            </xdr:cNvPr>
            <xdr:cNvGrpSpPr/>
          </xdr:nvGrpSpPr>
          <xdr:grpSpPr>
            <a:xfrm>
              <a:off x="8882704" y="3768361"/>
              <a:ext cx="1844488" cy="1181577"/>
              <a:chOff x="8127377" y="1699126"/>
              <a:chExt cx="1248833" cy="976289"/>
            </a:xfrm>
          </xdr:grpSpPr>
          <xdr:graphicFrame macro="">
            <xdr:nvGraphicFramePr>
              <xdr:cNvPr id="66" name="Chart 65">
                <a:extLst>
                  <a:ext uri="{FF2B5EF4-FFF2-40B4-BE49-F238E27FC236}">
                    <a16:creationId xmlns:a16="http://schemas.microsoft.com/office/drawing/2014/main" id="{6C8EBBE8-5C6E-2724-E409-766FBE3B51DB}"/>
                  </a:ext>
                </a:extLst>
              </xdr:cNvPr>
              <xdr:cNvGraphicFramePr/>
            </xdr:nvGraphicFramePr>
            <xdr:xfrm>
              <a:off x="8127377" y="1699126"/>
              <a:ext cx="1248833" cy="9762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  <xdr:sp macro="" textlink="">
            <xdr:nvSpPr>
              <xdr:cNvPr id="67" name="Oval 66">
                <a:extLst>
                  <a:ext uri="{FF2B5EF4-FFF2-40B4-BE49-F238E27FC236}">
                    <a16:creationId xmlns:a16="http://schemas.microsoft.com/office/drawing/2014/main" id="{D2A0BD07-69BB-3C57-5840-A8965FC30438}"/>
                  </a:ext>
                </a:extLst>
              </xdr:cNvPr>
              <xdr:cNvSpPr/>
            </xdr:nvSpPr>
            <xdr:spPr>
              <a:xfrm>
                <a:off x="8606040" y="2004635"/>
                <a:ext cx="300493" cy="360536"/>
              </a:xfrm>
              <a:prstGeom prst="ellipse">
                <a:avLst/>
              </a:prstGeom>
              <a:solidFill>
                <a:schemeClr val="bg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lIns="0" tIns="0" rIns="0" bIns="0" rtlCol="0" anchor="ctr"/>
              <a:lstStyle>
                <a:defPPr>
                  <a:defRPr lang="en-GB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 i="0" u="none" strike="noStrike">
                    <a:solidFill>
                      <a:srgbClr val="000000"/>
                    </a:solidFill>
                    <a:latin typeface="Calibri" panose="020F0502020204030204"/>
                    <a:cs typeface="Calibri" panose="020F0502020204030204"/>
                  </a:rPr>
                  <a:t>0%</a:t>
                </a:r>
                <a:endParaRPr lang="en-US" sz="700" b="1"/>
              </a:p>
            </xdr:txBody>
          </xdr:sp>
        </xdr:grpSp>
        <xdr:sp macro="" textlink="">
          <xdr:nvSpPr>
            <xdr:cNvPr id="65" name="TextBox 22">
              <a:extLst>
                <a:ext uri="{FF2B5EF4-FFF2-40B4-BE49-F238E27FC236}">
                  <a16:creationId xmlns:a16="http://schemas.microsoft.com/office/drawing/2014/main" id="{B2B478C9-84C4-F828-8B94-ED98DE3069F0}"/>
                </a:ext>
              </a:extLst>
            </xdr:cNvPr>
            <xdr:cNvSpPr txBox="1"/>
          </xdr:nvSpPr>
          <xdr:spPr>
            <a:xfrm>
              <a:off x="8922888" y="3631895"/>
              <a:ext cx="1843864" cy="3306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0" baseline="0">
                  <a:solidFill>
                    <a:srgbClr val="002060"/>
                  </a:solidFill>
                </a:rPr>
                <a:t>Crushed Coal</a:t>
              </a:r>
              <a:endParaRPr lang="en-US" sz="1200" b="0">
                <a:solidFill>
                  <a:srgbClr val="002060"/>
                </a:solidFill>
              </a:endParaRPr>
            </a:p>
          </xdr:txBody>
        </xdr:sp>
      </xdr:grp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A3D024C0-D1E7-AE5D-393B-B24522968AF1}"/>
              </a:ext>
            </a:extLst>
          </xdr:cNvPr>
          <xdr:cNvGrpSpPr/>
        </xdr:nvGrpSpPr>
        <xdr:grpSpPr>
          <a:xfrm>
            <a:off x="13900604" y="4208134"/>
            <a:ext cx="1847458" cy="1340859"/>
            <a:chOff x="13892515" y="4208134"/>
            <a:chExt cx="1847458" cy="1340859"/>
          </a:xfrm>
        </xdr:grpSpPr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4C31590A-1D58-A74B-0877-CCFC2737AD18}"/>
                </a:ext>
              </a:extLst>
            </xdr:cNvPr>
            <xdr:cNvGrpSpPr/>
          </xdr:nvGrpSpPr>
          <xdr:grpSpPr>
            <a:xfrm>
              <a:off x="13892515" y="4356529"/>
              <a:ext cx="1844488" cy="1192464"/>
              <a:chOff x="8127377" y="1699126"/>
              <a:chExt cx="1248833" cy="976289"/>
            </a:xfrm>
          </xdr:grpSpPr>
          <xdr:graphicFrame macro="">
            <xdr:nvGraphicFramePr>
              <xdr:cNvPr id="62" name="Chart 61">
                <a:extLst>
                  <a:ext uri="{FF2B5EF4-FFF2-40B4-BE49-F238E27FC236}">
                    <a16:creationId xmlns:a16="http://schemas.microsoft.com/office/drawing/2014/main" id="{A4EA19AC-3CD5-06B2-9E3D-9CB0260D389A}"/>
                  </a:ext>
                </a:extLst>
              </xdr:cNvPr>
              <xdr:cNvGraphicFramePr/>
            </xdr:nvGraphicFramePr>
            <xdr:xfrm>
              <a:off x="8127377" y="1699126"/>
              <a:ext cx="1248833" cy="9762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xdr:graphicFrame>
          <xdr:sp macro="" textlink="">
            <xdr:nvSpPr>
              <xdr:cNvPr id="63" name="Oval 62">
                <a:extLst>
                  <a:ext uri="{FF2B5EF4-FFF2-40B4-BE49-F238E27FC236}">
                    <a16:creationId xmlns:a16="http://schemas.microsoft.com/office/drawing/2014/main" id="{0FA70424-63AE-4D81-F5ED-7FC8A1EB1C5B}"/>
                  </a:ext>
                </a:extLst>
              </xdr:cNvPr>
              <xdr:cNvSpPr/>
            </xdr:nvSpPr>
            <xdr:spPr>
              <a:xfrm>
                <a:off x="8600776" y="2004678"/>
                <a:ext cx="314709" cy="360536"/>
              </a:xfrm>
              <a:prstGeom prst="ellipse">
                <a:avLst/>
              </a:prstGeom>
              <a:solidFill>
                <a:schemeClr val="bg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lIns="0" tIns="0" rIns="0" bIns="0" rtlCol="0" anchor="ctr"/>
              <a:lstStyle>
                <a:defPPr>
                  <a:defRPr lang="en-GB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 i="0" u="none" strike="noStrike">
                    <a:solidFill>
                      <a:srgbClr val="000000"/>
                    </a:solidFill>
                    <a:latin typeface="Calibri" panose="020F0502020204030204"/>
                    <a:cs typeface="Calibri" panose="020F0502020204030204"/>
                  </a:rPr>
                  <a:t>0%</a:t>
                </a:r>
                <a:endParaRPr lang="en-US" sz="700" b="1"/>
              </a:p>
            </xdr:txBody>
          </xdr:sp>
        </xdr:grpSp>
        <xdr:sp macro="" textlink="">
          <xdr:nvSpPr>
            <xdr:cNvPr id="61" name="TextBox 23">
              <a:extLst>
                <a:ext uri="{FF2B5EF4-FFF2-40B4-BE49-F238E27FC236}">
                  <a16:creationId xmlns:a16="http://schemas.microsoft.com/office/drawing/2014/main" id="{2047FC9E-F461-73AF-7E7B-0FED52942882}"/>
                </a:ext>
              </a:extLst>
            </xdr:cNvPr>
            <xdr:cNvSpPr txBox="1"/>
          </xdr:nvSpPr>
          <xdr:spPr>
            <a:xfrm>
              <a:off x="13894008" y="4208134"/>
              <a:ext cx="1845965" cy="3228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0" baseline="0">
                  <a:solidFill>
                    <a:srgbClr val="002060"/>
                  </a:solidFill>
                </a:rPr>
                <a:t>Barge Loading</a:t>
              </a:r>
              <a:endParaRPr lang="en-US" sz="1200" b="0">
                <a:solidFill>
                  <a:srgbClr val="002060"/>
                </a:solidFill>
              </a:endParaRPr>
            </a:p>
          </xdr:txBody>
        </xdr:sp>
      </xdr:grp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F0A26EBF-E9C5-FC19-0CF1-C66A4231B6E4}"/>
              </a:ext>
            </a:extLst>
          </xdr:cNvPr>
          <xdr:cNvSpPr/>
        </xdr:nvSpPr>
        <xdr:spPr>
          <a:xfrm>
            <a:off x="14078117" y="370113"/>
            <a:ext cx="1492433" cy="522514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GB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106680</xdr:colOff>
      <xdr:row>5</xdr:row>
      <xdr:rowOff>0</xdr:rowOff>
    </xdr:from>
    <xdr:to>
      <xdr:col>17</xdr:col>
      <xdr:colOff>771525</xdr:colOff>
      <xdr:row>8</xdr:row>
      <xdr:rowOff>44450</xdr:rowOff>
    </xdr:to>
    <xdr:sp macro="" textlink="">
      <xdr:nvSpPr>
        <xdr:cNvPr id="98" name="TextBox 24">
          <a:extLst>
            <a:ext uri="{FF2B5EF4-FFF2-40B4-BE49-F238E27FC236}">
              <a16:creationId xmlns:a16="http://schemas.microsoft.com/office/drawing/2014/main" id="{64A2FA79-B93D-AAD3-4B18-D1121C3EAF8E}"/>
            </a:ext>
          </a:extLst>
        </xdr:cNvPr>
        <xdr:cNvSpPr txBox="1"/>
      </xdr:nvSpPr>
      <xdr:spPr>
        <a:xfrm>
          <a:off x="7818120" y="777240"/>
          <a:ext cx="1541145" cy="59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Performance YTD VS Budget</a:t>
          </a:r>
          <a:endParaRPr lang="en-US" sz="1400" b="1">
            <a:solidFill>
              <a:srgbClr val="00206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7</xdr:col>
      <xdr:colOff>348343</xdr:colOff>
      <xdr:row>45</xdr:row>
      <xdr:rowOff>152400</xdr:rowOff>
    </xdr:from>
    <xdr:to>
      <xdr:col>13</xdr:col>
      <xdr:colOff>11340</xdr:colOff>
      <xdr:row>48</xdr:row>
      <xdr:rowOff>108223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B9052759-400F-F000-C63A-3F13792E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838201</xdr:colOff>
      <xdr:row>36</xdr:row>
      <xdr:rowOff>152401</xdr:rowOff>
    </xdr:from>
    <xdr:to>
      <xdr:col>13</xdr:col>
      <xdr:colOff>419100</xdr:colOff>
      <xdr:row>38</xdr:row>
      <xdr:rowOff>7620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7BBAF9B8-5466-C1BB-5A99-4667D013E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38100</xdr:colOff>
      <xdr:row>38</xdr:row>
      <xdr:rowOff>1</xdr:rowOff>
    </xdr:from>
    <xdr:to>
      <xdr:col>13</xdr:col>
      <xdr:colOff>342900</xdr:colOff>
      <xdr:row>40</xdr:row>
      <xdr:rowOff>38101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95A29D81-4D5C-DA62-FEA9-B763EAE13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258143</xdr:colOff>
      <xdr:row>1</xdr:row>
      <xdr:rowOff>9012</xdr:rowOff>
    </xdr:from>
    <xdr:to>
      <xdr:col>2</xdr:col>
      <xdr:colOff>115823</xdr:colOff>
      <xdr:row>2</xdr:row>
      <xdr:rowOff>128034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201295"/>
          <a:ext cx="909320" cy="301625"/>
        </a:xfrm>
        <a:prstGeom prst="rect">
          <a:avLst/>
        </a:prstGeom>
      </xdr:spPr>
    </xdr:pic>
    <xdr:clientData/>
  </xdr:twoCellAnchor>
  <xdr:twoCellAnchor>
    <xdr:from>
      <xdr:col>0</xdr:col>
      <xdr:colOff>179916</xdr:colOff>
      <xdr:row>16</xdr:row>
      <xdr:rowOff>2964</xdr:rowOff>
    </xdr:from>
    <xdr:to>
      <xdr:col>10</xdr:col>
      <xdr:colOff>83820</xdr:colOff>
      <xdr:row>34</xdr:row>
      <xdr:rowOff>42334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198120</xdr:colOff>
      <xdr:row>16</xdr:row>
      <xdr:rowOff>0</xdr:rowOff>
    </xdr:from>
    <xdr:to>
      <xdr:col>24</xdr:col>
      <xdr:colOff>7620</xdr:colOff>
      <xdr:row>34</xdr:row>
      <xdr:rowOff>42333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657764</xdr:colOff>
      <xdr:row>240</xdr:row>
      <xdr:rowOff>3595</xdr:rowOff>
    </xdr:from>
    <xdr:to>
      <xdr:col>2</xdr:col>
      <xdr:colOff>661358</xdr:colOff>
      <xdr:row>241</xdr:row>
      <xdr:rowOff>186906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H="1">
          <a:off x="2226945" y="16811625"/>
          <a:ext cx="381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668777</xdr:colOff>
      <xdr:row>241</xdr:row>
      <xdr:rowOff>0</xdr:rowOff>
    </xdr:from>
    <xdr:to>
      <xdr:col>4</xdr:col>
      <xdr:colOff>4053</xdr:colOff>
      <xdr:row>241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2238375" y="16811625"/>
          <a:ext cx="11868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668777</xdr:colOff>
      <xdr:row>241</xdr:row>
      <xdr:rowOff>0</xdr:rowOff>
    </xdr:from>
    <xdr:to>
      <xdr:col>5</xdr:col>
      <xdr:colOff>4053</xdr:colOff>
      <xdr:row>241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H="1">
          <a:off x="4090035" y="16811625"/>
          <a:ext cx="4705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668777</xdr:colOff>
      <xdr:row>241</xdr:row>
      <xdr:rowOff>0</xdr:rowOff>
    </xdr:from>
    <xdr:to>
      <xdr:col>6</xdr:col>
      <xdr:colOff>4053</xdr:colOff>
      <xdr:row>241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H="1">
          <a:off x="5225415" y="16811625"/>
          <a:ext cx="1962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668777</xdr:colOff>
      <xdr:row>241</xdr:row>
      <xdr:rowOff>0</xdr:rowOff>
    </xdr:from>
    <xdr:to>
      <xdr:col>7</xdr:col>
      <xdr:colOff>4053</xdr:colOff>
      <xdr:row>241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6086475" y="16811625"/>
          <a:ext cx="1885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241</xdr:row>
      <xdr:rowOff>0</xdr:rowOff>
    </xdr:from>
    <xdr:to>
      <xdr:col>8</xdr:col>
      <xdr:colOff>4053</xdr:colOff>
      <xdr:row>241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6939915" y="16811625"/>
          <a:ext cx="1123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241</xdr:row>
      <xdr:rowOff>0</xdr:rowOff>
    </xdr:from>
    <xdr:to>
      <xdr:col>9</xdr:col>
      <xdr:colOff>4053</xdr:colOff>
      <xdr:row>241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>
          <a:off x="7717155" y="16811625"/>
          <a:ext cx="18097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241</xdr:row>
      <xdr:rowOff>0</xdr:rowOff>
    </xdr:from>
    <xdr:to>
      <xdr:col>10</xdr:col>
      <xdr:colOff>4053</xdr:colOff>
      <xdr:row>241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8562975" y="16811625"/>
          <a:ext cx="2038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241</xdr:row>
      <xdr:rowOff>0</xdr:rowOff>
    </xdr:from>
    <xdr:to>
      <xdr:col>11</xdr:col>
      <xdr:colOff>4053</xdr:colOff>
      <xdr:row>241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H="1">
          <a:off x="943165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241</xdr:row>
      <xdr:rowOff>0</xdr:rowOff>
    </xdr:from>
    <xdr:to>
      <xdr:col>12</xdr:col>
      <xdr:colOff>4053</xdr:colOff>
      <xdr:row>241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 flipH="1">
          <a:off x="10323195" y="16811625"/>
          <a:ext cx="2038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241</xdr:row>
      <xdr:rowOff>0</xdr:rowOff>
    </xdr:from>
    <xdr:to>
      <xdr:col>13</xdr:col>
      <xdr:colOff>4053</xdr:colOff>
      <xdr:row>241</xdr:row>
      <xdr:rowOff>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>
          <a:off x="11191875" y="16811625"/>
          <a:ext cx="2038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241</xdr:row>
      <xdr:rowOff>0</xdr:rowOff>
    </xdr:from>
    <xdr:to>
      <xdr:col>14</xdr:col>
      <xdr:colOff>4053</xdr:colOff>
      <xdr:row>241</xdr:row>
      <xdr:rowOff>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 flipH="1">
          <a:off x="1206055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241</xdr:row>
      <xdr:rowOff>0</xdr:rowOff>
    </xdr:from>
    <xdr:to>
      <xdr:col>15</xdr:col>
      <xdr:colOff>4053</xdr:colOff>
      <xdr:row>241</xdr:row>
      <xdr:rowOff>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/>
      </xdr:nvCxnSpPr>
      <xdr:spPr>
        <a:xfrm flipH="1">
          <a:off x="1295209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241</xdr:row>
      <xdr:rowOff>0</xdr:rowOff>
    </xdr:from>
    <xdr:to>
      <xdr:col>16</xdr:col>
      <xdr:colOff>4053</xdr:colOff>
      <xdr:row>241</xdr:row>
      <xdr:rowOff>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CxnSpPr/>
      </xdr:nvCxnSpPr>
      <xdr:spPr>
        <a:xfrm flipH="1">
          <a:off x="1384363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241</xdr:row>
      <xdr:rowOff>0</xdr:rowOff>
    </xdr:from>
    <xdr:to>
      <xdr:col>17</xdr:col>
      <xdr:colOff>4053</xdr:colOff>
      <xdr:row>241</xdr:row>
      <xdr:rowOff>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CxnSpPr/>
      </xdr:nvCxnSpPr>
      <xdr:spPr>
        <a:xfrm flipH="1">
          <a:off x="1473517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241</xdr:row>
      <xdr:rowOff>0</xdr:rowOff>
    </xdr:from>
    <xdr:to>
      <xdr:col>18</xdr:col>
      <xdr:colOff>4053</xdr:colOff>
      <xdr:row>241</xdr:row>
      <xdr:rowOff>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CxnSpPr/>
      </xdr:nvCxnSpPr>
      <xdr:spPr>
        <a:xfrm flipH="1">
          <a:off x="1562671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241</xdr:row>
      <xdr:rowOff>0</xdr:rowOff>
    </xdr:from>
    <xdr:to>
      <xdr:col>19</xdr:col>
      <xdr:colOff>4053</xdr:colOff>
      <xdr:row>241</xdr:row>
      <xdr:rowOff>0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CxnSpPr/>
      </xdr:nvCxnSpPr>
      <xdr:spPr>
        <a:xfrm flipH="1">
          <a:off x="1651825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241</xdr:row>
      <xdr:rowOff>0</xdr:rowOff>
    </xdr:from>
    <xdr:to>
      <xdr:col>20</xdr:col>
      <xdr:colOff>4053</xdr:colOff>
      <xdr:row>241</xdr:row>
      <xdr:rowOff>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CxnSpPr/>
      </xdr:nvCxnSpPr>
      <xdr:spPr>
        <a:xfrm flipH="1">
          <a:off x="1740979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241</xdr:row>
      <xdr:rowOff>0</xdr:rowOff>
    </xdr:from>
    <xdr:to>
      <xdr:col>21</xdr:col>
      <xdr:colOff>4053</xdr:colOff>
      <xdr:row>241</xdr:row>
      <xdr:rowOff>0</xdr:rowOff>
    </xdr:to>
    <xdr:cxnSp macro="">
      <xdr:nvCxnSpPr>
        <xdr:cNvPr id="380" name="Straight Connector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CxnSpPr/>
      </xdr:nvCxnSpPr>
      <xdr:spPr>
        <a:xfrm flipH="1">
          <a:off x="1830133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241</xdr:row>
      <xdr:rowOff>0</xdr:rowOff>
    </xdr:from>
    <xdr:to>
      <xdr:col>22</xdr:col>
      <xdr:colOff>4053</xdr:colOff>
      <xdr:row>241</xdr:row>
      <xdr:rowOff>0</xdr:rowOff>
    </xdr:to>
    <xdr:cxnSp macro="">
      <xdr:nvCxnSpPr>
        <xdr:cNvPr id="429" name="Straight Connector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CxnSpPr/>
      </xdr:nvCxnSpPr>
      <xdr:spPr>
        <a:xfrm flipH="1">
          <a:off x="1919287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241</xdr:row>
      <xdr:rowOff>0</xdr:rowOff>
    </xdr:from>
    <xdr:to>
      <xdr:col>23</xdr:col>
      <xdr:colOff>4053</xdr:colOff>
      <xdr:row>241</xdr:row>
      <xdr:rowOff>0</xdr:rowOff>
    </xdr:to>
    <xdr:cxnSp macro="">
      <xdr:nvCxnSpPr>
        <xdr:cNvPr id="481" name="Straight Connector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CxnSpPr/>
      </xdr:nvCxnSpPr>
      <xdr:spPr>
        <a:xfrm flipH="1">
          <a:off x="2008441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241</xdr:row>
      <xdr:rowOff>0</xdr:rowOff>
    </xdr:from>
    <xdr:to>
      <xdr:col>24</xdr:col>
      <xdr:colOff>4053</xdr:colOff>
      <xdr:row>241</xdr:row>
      <xdr:rowOff>0</xdr:rowOff>
    </xdr:to>
    <xdr:cxnSp macro="">
      <xdr:nvCxnSpPr>
        <xdr:cNvPr id="536" name="Straight Connector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CxnSpPr/>
      </xdr:nvCxnSpPr>
      <xdr:spPr>
        <a:xfrm flipH="1">
          <a:off x="2097595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241</xdr:row>
      <xdr:rowOff>0</xdr:rowOff>
    </xdr:from>
    <xdr:to>
      <xdr:col>25</xdr:col>
      <xdr:colOff>4053</xdr:colOff>
      <xdr:row>241</xdr:row>
      <xdr:rowOff>0</xdr:rowOff>
    </xdr:to>
    <xdr:cxnSp macro="">
      <xdr:nvCxnSpPr>
        <xdr:cNvPr id="594" name="Straight Connector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CxnSpPr/>
      </xdr:nvCxnSpPr>
      <xdr:spPr>
        <a:xfrm flipH="1">
          <a:off x="21867495" y="16811625"/>
          <a:ext cx="2266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241</xdr:row>
      <xdr:rowOff>0</xdr:rowOff>
    </xdr:from>
    <xdr:to>
      <xdr:col>26</xdr:col>
      <xdr:colOff>4053</xdr:colOff>
      <xdr:row>241</xdr:row>
      <xdr:rowOff>0</xdr:rowOff>
    </xdr:to>
    <xdr:cxnSp macro="">
      <xdr:nvCxnSpPr>
        <xdr:cNvPr id="655" name="Straight Connector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CxnSpPr/>
      </xdr:nvCxnSpPr>
      <xdr:spPr>
        <a:xfrm flipH="1">
          <a:off x="22759035" y="16811625"/>
          <a:ext cx="2038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241</xdr:row>
      <xdr:rowOff>0</xdr:rowOff>
    </xdr:from>
    <xdr:to>
      <xdr:col>27</xdr:col>
      <xdr:colOff>4053</xdr:colOff>
      <xdr:row>241</xdr:row>
      <xdr:rowOff>0</xdr:rowOff>
    </xdr:to>
    <xdr:cxnSp macro="">
      <xdr:nvCxnSpPr>
        <xdr:cNvPr id="719" name="Straight Connector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CxnSpPr/>
      </xdr:nvCxnSpPr>
      <xdr:spPr>
        <a:xfrm flipH="1">
          <a:off x="23627715" y="16811625"/>
          <a:ext cx="1885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241</xdr:row>
      <xdr:rowOff>0</xdr:rowOff>
    </xdr:from>
    <xdr:to>
      <xdr:col>28</xdr:col>
      <xdr:colOff>4053</xdr:colOff>
      <xdr:row>241</xdr:row>
      <xdr:rowOff>0</xdr:rowOff>
    </xdr:to>
    <xdr:cxnSp macro="">
      <xdr:nvCxnSpPr>
        <xdr:cNvPr id="786" name="Straight Connector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CxnSpPr/>
      </xdr:nvCxnSpPr>
      <xdr:spPr>
        <a:xfrm flipH="1">
          <a:off x="24481155" y="16811625"/>
          <a:ext cx="1962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241</xdr:row>
      <xdr:rowOff>0</xdr:rowOff>
    </xdr:from>
    <xdr:to>
      <xdr:col>29</xdr:col>
      <xdr:colOff>4053</xdr:colOff>
      <xdr:row>241</xdr:row>
      <xdr:rowOff>0</xdr:rowOff>
    </xdr:to>
    <xdr:cxnSp macro="">
      <xdr:nvCxnSpPr>
        <xdr:cNvPr id="856" name="Straight Connector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CxnSpPr/>
      </xdr:nvCxnSpPr>
      <xdr:spPr>
        <a:xfrm flipH="1">
          <a:off x="25342215" y="16811625"/>
          <a:ext cx="1581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241</xdr:row>
      <xdr:rowOff>0</xdr:rowOff>
    </xdr:from>
    <xdr:to>
      <xdr:col>30</xdr:col>
      <xdr:colOff>4053</xdr:colOff>
      <xdr:row>241</xdr:row>
      <xdr:rowOff>0</xdr:rowOff>
    </xdr:to>
    <xdr:cxnSp macro="">
      <xdr:nvCxnSpPr>
        <xdr:cNvPr id="929" name="Straight Connector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CxnSpPr/>
      </xdr:nvCxnSpPr>
      <xdr:spPr>
        <a:xfrm flipH="1">
          <a:off x="26165175" y="16811625"/>
          <a:ext cx="1581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241</xdr:row>
      <xdr:rowOff>0</xdr:rowOff>
    </xdr:from>
    <xdr:to>
      <xdr:col>31</xdr:col>
      <xdr:colOff>4053</xdr:colOff>
      <xdr:row>241</xdr:row>
      <xdr:rowOff>0</xdr:rowOff>
    </xdr:to>
    <xdr:cxnSp macro="">
      <xdr:nvCxnSpPr>
        <xdr:cNvPr id="1005" name="Straight Connector 1004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CxnSpPr/>
      </xdr:nvCxnSpPr>
      <xdr:spPr>
        <a:xfrm flipH="1">
          <a:off x="26988135" y="16811625"/>
          <a:ext cx="24955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241</xdr:row>
      <xdr:rowOff>0</xdr:rowOff>
    </xdr:from>
    <xdr:to>
      <xdr:col>32</xdr:col>
      <xdr:colOff>4053</xdr:colOff>
      <xdr:row>241</xdr:row>
      <xdr:rowOff>0</xdr:rowOff>
    </xdr:to>
    <xdr:cxnSp macro="">
      <xdr:nvCxnSpPr>
        <xdr:cNvPr id="1084" name="Straight Connector 1083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CxnSpPr/>
      </xdr:nvCxnSpPr>
      <xdr:spPr>
        <a:xfrm flipH="1">
          <a:off x="27902535" y="16811625"/>
          <a:ext cx="1962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241</xdr:row>
      <xdr:rowOff>0</xdr:rowOff>
    </xdr:from>
    <xdr:to>
      <xdr:col>33</xdr:col>
      <xdr:colOff>4053</xdr:colOff>
      <xdr:row>241</xdr:row>
      <xdr:rowOff>0</xdr:rowOff>
    </xdr:to>
    <xdr:cxnSp macro="">
      <xdr:nvCxnSpPr>
        <xdr:cNvPr id="1166" name="Straight Connector 1165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CxnSpPr/>
      </xdr:nvCxnSpPr>
      <xdr:spPr>
        <a:xfrm flipH="1">
          <a:off x="28763595" y="16811625"/>
          <a:ext cx="1276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241</xdr:row>
      <xdr:rowOff>0</xdr:rowOff>
    </xdr:from>
    <xdr:to>
      <xdr:col>34</xdr:col>
      <xdr:colOff>4053</xdr:colOff>
      <xdr:row>241</xdr:row>
      <xdr:rowOff>0</xdr:rowOff>
    </xdr:to>
    <xdr:cxnSp macro="">
      <xdr:nvCxnSpPr>
        <xdr:cNvPr id="1251" name="Straight Connector 1250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CxnSpPr/>
      </xdr:nvCxnSpPr>
      <xdr:spPr>
        <a:xfrm flipH="1">
          <a:off x="29556075" y="16811625"/>
          <a:ext cx="11239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241</xdr:row>
      <xdr:rowOff>0</xdr:rowOff>
    </xdr:from>
    <xdr:to>
      <xdr:col>35</xdr:col>
      <xdr:colOff>4053</xdr:colOff>
      <xdr:row>241</xdr:row>
      <xdr:rowOff>0</xdr:rowOff>
    </xdr:to>
    <xdr:cxnSp macro="">
      <xdr:nvCxnSpPr>
        <xdr:cNvPr id="1339" name="Straight Connector 1338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CxnSpPr/>
      </xdr:nvCxnSpPr>
      <xdr:spPr>
        <a:xfrm flipH="1">
          <a:off x="30333315" y="16811625"/>
          <a:ext cx="24955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432100</xdr:colOff>
      <xdr:row>51</xdr:row>
      <xdr:rowOff>65617</xdr:rowOff>
    </xdr:from>
    <xdr:to>
      <xdr:col>17</xdr:col>
      <xdr:colOff>78316</xdr:colOff>
      <xdr:row>71</xdr:row>
      <xdr:rowOff>156633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11</xdr:col>
      <xdr:colOff>31750</xdr:colOff>
      <xdr:row>29</xdr:row>
      <xdr:rowOff>52917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455083</xdr:colOff>
      <xdr:row>39</xdr:row>
      <xdr:rowOff>0</xdr:rowOff>
    </xdr:from>
    <xdr:to>
      <xdr:col>22</xdr:col>
      <xdr:colOff>582083</xdr:colOff>
      <xdr:row>54</xdr:row>
      <xdr:rowOff>52917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10583</xdr:rowOff>
    </xdr:from>
    <xdr:to>
      <xdr:col>11</xdr:col>
      <xdr:colOff>31750</xdr:colOff>
      <xdr:row>54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199838</xdr:colOff>
      <xdr:row>29</xdr:row>
      <xdr:rowOff>52917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590551</xdr:colOff>
      <xdr:row>1</xdr:row>
      <xdr:rowOff>166686</xdr:rowOff>
    </xdr:from>
    <xdr:to>
      <xdr:col>14</xdr:col>
      <xdr:colOff>600075</xdr:colOff>
      <xdr:row>23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24493</xdr:colOff>
      <xdr:row>24</xdr:row>
      <xdr:rowOff>146276</xdr:rowOff>
    </xdr:from>
    <xdr:to>
      <xdr:col>14</xdr:col>
      <xdr:colOff>576943</xdr:colOff>
      <xdr:row>46</xdr:row>
      <xdr:rowOff>74839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412749</xdr:colOff>
      <xdr:row>2</xdr:row>
      <xdr:rowOff>15874</xdr:rowOff>
    </xdr:from>
    <xdr:to>
      <xdr:col>28</xdr:col>
      <xdr:colOff>380999</xdr:colOff>
      <xdr:row>22</xdr:row>
      <xdr:rowOff>190499</xdr:rowOff>
    </xdr:to>
    <xdr:graphicFrame macro="">
      <xdr:nvGraphicFramePr>
        <xdr:cNvPr id="7" name="Chart 6" title="GRAPH OF PRODUCTION vs RAINFALL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412749</xdr:colOff>
      <xdr:row>24</xdr:row>
      <xdr:rowOff>174624</xdr:rowOff>
    </xdr:from>
    <xdr:to>
      <xdr:col>28</xdr:col>
      <xdr:colOff>380999</xdr:colOff>
      <xdr:row>46</xdr:row>
      <xdr:rowOff>63499</xdr:rowOff>
    </xdr:to>
    <xdr:graphicFrame macro="">
      <xdr:nvGraphicFramePr>
        <xdr:cNvPr id="8" name="Chart 7" title="GRAPH OF PRODUCTION vs RAINFALL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609600</xdr:colOff>
          <xdr:row>0</xdr:row>
          <xdr:rowOff>44823</xdr:rowOff>
        </xdr:from>
        <xdr:to>
          <xdr:col>14</xdr:col>
          <xdr:colOff>501575</xdr:colOff>
          <xdr:row>43</xdr:row>
          <xdr:rowOff>17929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E06F3D0-0091-6835-5092-8061CAF6D58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shboard!$B$3:$S$55" spid="_x0000_s152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" y="44823"/>
              <a:ext cx="8927118" cy="798499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609600</xdr:colOff>
          <xdr:row>0</xdr:row>
          <xdr:rowOff>45720</xdr:rowOff>
        </xdr:from>
        <xdr:to>
          <xdr:col>14</xdr:col>
          <xdr:colOff>502920</xdr:colOff>
          <xdr:row>43</xdr:row>
          <xdr:rowOff>15240</xdr:rowOff>
        </xdr:to>
        <xdr:pic>
          <xdr:nvPicPr>
            <xdr:cNvPr id="15115" name="Picture 1">
              <a:extLst>
                <a:ext uri="{FF2B5EF4-FFF2-40B4-BE49-F238E27FC236}">
                  <a16:creationId xmlns:a16="http://schemas.microsoft.com/office/drawing/2014/main" id="{CD759740-3B07-4BA3-17EF-89E722F530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shboard!$B$3:$S$55" spid="_x0000_s152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09600" y="45720"/>
              <a:ext cx="8928463" cy="79814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261257</xdr:colOff>
      <xdr:row>4581</xdr:row>
      <xdr:rowOff>174170</xdr:rowOff>
    </xdr:from>
    <xdr:to>
      <xdr:col>53</xdr:col>
      <xdr:colOff>327543</xdr:colOff>
      <xdr:row>4587</xdr:row>
      <xdr:rowOff>33903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29965" y="803634410"/>
          <a:ext cx="3114040" cy="911225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304801</xdr:colOff>
      <xdr:row>4588</xdr:row>
      <xdr:rowOff>43543</xdr:rowOff>
    </xdr:from>
    <xdr:to>
      <xdr:col>56</xdr:col>
      <xdr:colOff>121875</xdr:colOff>
      <xdr:row>4594</xdr:row>
      <xdr:rowOff>27087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73780" y="804730420"/>
          <a:ext cx="4723765" cy="1035050"/>
        </a:xfrm>
        <a:prstGeom prst="rect">
          <a:avLst/>
        </a:prstGeom>
      </xdr:spPr>
    </xdr:pic>
    <xdr:clientData/>
  </xdr:twoCellAnchor>
  <xdr:twoCellAnchor editAs="oneCell">
    <xdr:from>
      <xdr:col>68</xdr:col>
      <xdr:colOff>185057</xdr:colOff>
      <xdr:row>2</xdr:row>
      <xdr:rowOff>87087</xdr:rowOff>
    </xdr:from>
    <xdr:to>
      <xdr:col>72</xdr:col>
      <xdr:colOff>232371</xdr:colOff>
      <xdr:row>19</xdr:row>
      <xdr:rowOff>65053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36465" y="795655"/>
          <a:ext cx="2485390" cy="3086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262345</xdr:colOff>
      <xdr:row>21</xdr:row>
      <xdr:rowOff>59872</xdr:rowOff>
    </xdr:from>
    <xdr:to>
      <xdr:col>2</xdr:col>
      <xdr:colOff>849085</xdr:colOff>
      <xdr:row>27</xdr:row>
      <xdr:rowOff>108857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y">
              <a:extLst>
                <a:ext uri="{FF2B5EF4-FFF2-40B4-BE49-F238E27FC236}">
                  <a16:creationId xmlns:a16="http://schemas.microsoft.com/office/drawing/2014/main" id="{00000000-0008-0000-0E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255" y="3985895"/>
              <a:ext cx="3688080" cy="1146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36029</xdr:colOff>
      <xdr:row>1</xdr:row>
      <xdr:rowOff>30232</xdr:rowOff>
    </xdr:from>
    <xdr:to>
      <xdr:col>2</xdr:col>
      <xdr:colOff>950429</xdr:colOff>
      <xdr:row>1</xdr:row>
      <xdr:rowOff>944632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rcRect t="1" b="12352"/>
        <a:stretch>
          <a:fillRect/>
        </a:stretch>
      </xdr:blipFill>
      <xdr:spPr>
        <a:xfrm>
          <a:off x="1268481" y="215762"/>
          <a:ext cx="914400" cy="914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33374</xdr:colOff>
      <xdr:row>2</xdr:row>
      <xdr:rowOff>39868</xdr:rowOff>
    </xdr:from>
    <xdr:to>
      <xdr:col>2</xdr:col>
      <xdr:colOff>947774</xdr:colOff>
      <xdr:row>2</xdr:row>
      <xdr:rowOff>951369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267460" y="1193800"/>
          <a:ext cx="914400" cy="911860"/>
        </a:xfrm>
        <a:prstGeom prst="rect">
          <a:avLst/>
        </a:prstGeom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Fajar Prawira" refreshedDate="46022.407037847202" createdVersion="8" refreshedVersion="8" minRefreshableVersion="3" recordCount="677" xr:uid="{00000000-000A-0000-FFFF-FFFF00000000}">
  <cacheSource type="worksheet">
    <worksheetSource name="OB_Act"/>
  </cacheSource>
  <cacheFields count="28">
    <cacheField name="Day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m/>
        <n v="9" u="1"/>
        <n v="24" u="1"/>
        <n v="31" u="1"/>
      </sharedItems>
    </cacheField>
    <cacheField name="Shift" numFmtId="0">
      <sharedItems containsString="0" containsBlank="1" containsNumber="1" containsInteger="1" minValue="0" maxValue="1" count="2">
        <n v="1"/>
        <m/>
      </sharedItems>
    </cacheField>
    <cacheField name="Dump Truck" numFmtId="0">
      <sharedItems containsNonDate="0" containsBlank="1"/>
    </cacheField>
    <cacheField name="Excavator" numFmtId="0">
      <sharedItems containsNonDate="0" containsBlank="1"/>
    </cacheField>
    <cacheField name="Seam" numFmtId="0">
      <sharedItems containsNonDate="0" containsBlank="1"/>
    </cacheField>
    <cacheField name="Trip" numFmtId="0">
      <sharedItems containsNonDate="0" containsString="0" containsBlank="1" containsNumber="1" containsInteger="1" minValue="1" maxValue="26"/>
    </cacheField>
    <cacheField name="Cap. (BCM/Trip)" numFmtId="0">
      <sharedItems containsNonDate="0" containsString="0" containsBlank="1" containsNumber="1" minValue="13.5" maxValue="13.5"/>
    </cacheField>
    <cacheField name="Volume (BCM)" numFmtId="0">
      <sharedItems containsNonDate="0" containsString="0" containsBlank="1" containsNumber="1" minValue="13.5" maxValue="351"/>
    </cacheField>
    <cacheField name="Material" numFmtId="0">
      <sharedItems containsNonDate="0" containsBlank="1"/>
    </cacheField>
    <cacheField name="Dump Area" numFmtId="0">
      <sharedItems containsNonDate="0" containsBlank="1"/>
    </cacheField>
    <cacheField name="Distance (Meter)" numFmtId="0">
      <sharedItems containsNonDate="0" containsString="0" containsBlank="1" containsNumber="1" containsInteger="1" minValue="2000" maxValue="3000"/>
    </cacheField>
    <cacheField name="Pit" numFmtId="0">
      <sharedItems containsNonDate="0" containsBlank="1"/>
    </cacheField>
    <cacheField name="Distance" numFmtId="0">
      <sharedItems containsSemiMixedTypes="0" containsNonDate="0" containsString="0" containsNumber="1" containsInteger="1" minValue="0" maxValue="702000"/>
    </cacheField>
    <cacheField name="Contractor" numFmtId="0">
      <sharedItems containsBlank="1" count="3">
        <s v="SNS"/>
        <s v=""/>
        <m u="1"/>
      </sharedItems>
    </cacheField>
    <cacheField name="Dummy_Exc" numFmtId="4">
      <sharedItems containsNonDate="0"/>
    </cacheField>
    <cacheField name="Count_Exc" numFmtId="4">
      <sharedItems containsSemiMixedTypes="0" containsNonDate="0" containsString="0" containsNumber="1" minValue="5.8823529411764705E-3" maxValue="0.33333333333333331"/>
    </cacheField>
    <cacheField name="Dummy_DT" numFmtId="0">
      <sharedItems containsNonDate="0"/>
    </cacheField>
    <cacheField name="Count_DT" numFmtId="4">
      <sharedItems containsSemiMixedTypes="0" containsNonDate="0" containsString="0" containsNumber="1" minValue="5.8823529411764705E-3" maxValue="1"/>
    </cacheField>
    <cacheField name="Dummy_Dist." numFmtId="4">
      <sharedItems containsSemiMixedTypes="0" containsNonDate="0" containsString="0" containsNumber="1" containsInteger="1" minValue="0" maxValue="702000"/>
    </cacheField>
    <cacheField name="Dummy_DT/Exc" numFmtId="0">
      <sharedItems containsNonDate="0"/>
    </cacheField>
    <cacheField name="Count_DT/Exc" numFmtId="4">
      <sharedItems containsSemiMixedTypes="0" containsNonDate="0" containsString="0" containsNumber="1" minValue="5.8823529411764705E-3" maxValue="1"/>
    </cacheField>
    <cacheField name="Weekly" numFmtId="4">
      <sharedItems containsNonDate="0"/>
    </cacheField>
    <cacheField name="Dump" numFmtId="4">
      <sharedItems containsNonDate="0"/>
    </cacheField>
    <cacheField name="Dummy_Exc2" numFmtId="4">
      <sharedItems containsNonDate="0"/>
    </cacheField>
    <cacheField name="Type_DT" numFmtId="0">
      <sharedItems count="3">
        <s v="SNS-HINO-30T"/>
        <s v="SNS-VOLVO-35T"/>
        <e v="#N/A"/>
      </sharedItems>
    </cacheField>
    <cacheField name="Source" numFmtId="4">
      <sharedItems count="13">
        <s v="JBG-OP1-CENTRAL-C_UCW-WASTE-OB-PAF"/>
        <s v="JBG-OP1-CENTRAL-UCEX-WASTE-OB-PAF"/>
        <s v="JBG-OP1-CENTRAL-UCET-WASTE-OB-PAF"/>
        <e v="#N/A"/>
        <s v="JBG-OP1-CENTRAL-UCEXB-WASTE-TS" u="1"/>
        <s v="JBG-OP1-CENTRAL-UCEXB-WASTE-OB-PAF" u="1"/>
        <s v="JBG-OP1-CENTRAL-M45C-WASTE-OB-PAF" u="1"/>
        <s v="JBG-OP1-CENTRAL-UCEX-WASTE-TS" u="1"/>
        <s v="JBG-OP1-CENTRAL-UCE-WASTE-OB-PAF" u="1"/>
        <s v="JBG-OP1-CENTRAL-UCE-WASTE-TS" u="1"/>
        <s v="JBG-OP1-CENTRAL-UCEX-WASTE-`" u="1"/>
        <s v="JBG-OP1-CENTRAL-UCE-EX-WASTE-OB-PAF" u="1"/>
        <s v="JBG-OP1-CENTRAL-UCE-EX-WASTE-TS" u="1"/>
      </sharedItems>
    </cacheField>
    <cacheField name="Destination" numFmtId="4">
      <sharedItems count="13">
        <s v="JBG-DUMP1-INPIT-UCW-OB-PAF"/>
        <s v="JBG-DUMP1-INPIT-UEW-OB-PAF"/>
        <s v="JBG-DUMP1-INPIT-M2W-OB-PAF"/>
        <e v="#N/A"/>
        <s v="JBG-DUMP1-INPIT-UEW-TS" u="1"/>
        <s v="JBG-DUMP1-INPIT-M45C-OB-PAF" u="1"/>
        <s v="JBG-DUMP1-INPIT-UCE-OB-PAF" u="1"/>
        <s v="JBG-DUMP1-INPIT-UCEX-OB-PAF" u="1"/>
        <s v="JBG-DUMP1-INPIT-UCE-TS" u="1"/>
        <s v="JBG-DUMP1-INPIT-UCEX-TS" u="1"/>
        <s v="JBG-DUMP1-INPIT-UEW-`" u="1"/>
        <s v="JBG-DUMP1-INPIT-UCE-EX-OB-PAF" u="1"/>
        <s v="JBG-DUMP1-INPIT-UCE-EX-TS" u="1"/>
      </sharedItems>
    </cacheField>
    <cacheField name="Product" numFmtId="4">
      <sharedItems count="4">
        <s v="JBG-OB-PAF"/>
        <s v="JBG-"/>
        <s v="JBG-TS" u="1"/>
        <s v="JBG-`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">
  <r>
    <x v="0"/>
    <x v="0"/>
    <s v="SNS-SN565"/>
    <s v="SNS-EX500-241"/>
    <s v="Channel_UCW"/>
    <n v="12"/>
    <n v="13.5"/>
    <n v="162"/>
    <s v="OB-PAF"/>
    <s v="UCW"/>
    <n v="2000"/>
    <s v="PIT UCW"/>
    <n v="324000"/>
    <x v="0"/>
    <s v="1SNS-EX500-241SNSPIT UCW1"/>
    <n v="0.16666666666666666"/>
    <s v="1SNS-SN565PIT UCW1"/>
    <n v="1"/>
    <n v="324000"/>
    <s v="1SNS-SN565SNSSNS-EX500-2411"/>
    <n v="1"/>
    <s v="Week I"/>
    <s v="UCW"/>
    <s v="SNS-EX500-241SNS"/>
    <x v="0"/>
    <x v="0"/>
    <x v="0"/>
    <x v="0"/>
  </r>
  <r>
    <x v="0"/>
    <x v="0"/>
    <s v="SNS-SN561"/>
    <s v="SNS-EX500-241"/>
    <s v="Channel_UCW"/>
    <n v="12"/>
    <n v="13.5"/>
    <n v="162"/>
    <s v="OB-PAF"/>
    <s v="UCW"/>
    <n v="2000"/>
    <s v="PIT UCW"/>
    <n v="324000"/>
    <x v="0"/>
    <s v="1SNS-EX500-241SNSPIT UCW1"/>
    <n v="0.16666666666666666"/>
    <s v="1SNS-SN561PIT UCW1"/>
    <n v="1"/>
    <n v="324000"/>
    <s v="1SNS-SN561SNSSNS-EX500-2411"/>
    <n v="1"/>
    <s v="Week I"/>
    <s v="UCW"/>
    <s v="SNS-EX500-241SNS"/>
    <x v="0"/>
    <x v="0"/>
    <x v="0"/>
    <x v="0"/>
  </r>
  <r>
    <x v="0"/>
    <x v="0"/>
    <s v="SNS-SN573"/>
    <s v="SNS-EX500-241"/>
    <s v="Channel_UCW"/>
    <n v="14"/>
    <n v="13.5"/>
    <n v="189"/>
    <s v="OB-PAF"/>
    <s v="UCW"/>
    <n v="2000"/>
    <s v="PIT UCW"/>
    <n v="378000"/>
    <x v="0"/>
    <s v="1SNS-EX500-241SNSPIT UCW1"/>
    <n v="0.16666666666666666"/>
    <s v="1SNS-SN573PIT UCW1"/>
    <n v="1"/>
    <n v="378000"/>
    <s v="1SNS-SN573SNSSNS-EX500-2411"/>
    <n v="1"/>
    <s v="Week I"/>
    <s v="UCW"/>
    <s v="SNS-EX500-241SNS"/>
    <x v="0"/>
    <x v="0"/>
    <x v="0"/>
    <x v="0"/>
  </r>
  <r>
    <x v="0"/>
    <x v="0"/>
    <s v="SNS-SN579"/>
    <s v="SNS-EX500-241"/>
    <s v="Channel_UCW"/>
    <n v="14"/>
    <n v="13.5"/>
    <n v="189"/>
    <s v="OB-PAF"/>
    <s v="UCW"/>
    <n v="2000"/>
    <s v="PIT UCW"/>
    <n v="378000"/>
    <x v="0"/>
    <s v="1SNS-EX500-241SNSPIT UCW1"/>
    <n v="0.16666666666666666"/>
    <s v="1SNS-SN579PIT UCW1"/>
    <n v="1"/>
    <n v="378000"/>
    <s v="1SNS-SN579SNSSNS-EX500-2411"/>
    <n v="1"/>
    <s v="Week I"/>
    <s v="UCW"/>
    <s v="SNS-EX500-241SNS"/>
    <x v="0"/>
    <x v="0"/>
    <x v="0"/>
    <x v="0"/>
  </r>
  <r>
    <x v="0"/>
    <x v="0"/>
    <s v="SNS-SN607"/>
    <s v="SNS-EX500-241"/>
    <s v="Channel_UCW"/>
    <n v="20"/>
    <n v="13.5"/>
    <n v="270"/>
    <s v="OB-PAF"/>
    <s v="UCW"/>
    <n v="2000"/>
    <s v="PIT UCW"/>
    <n v="540000"/>
    <x v="0"/>
    <s v="1SNS-EX500-241SNSPIT UCW1"/>
    <n v="0.16666666666666666"/>
    <s v="1SNS-SN607PIT UCW1"/>
    <n v="1"/>
    <n v="540000"/>
    <s v="1SNS-SN607SNSSNS-EX500-2411"/>
    <n v="1"/>
    <s v="Week I"/>
    <s v="UCW"/>
    <s v="SNS-EX500-241SNS"/>
    <x v="1"/>
    <x v="0"/>
    <x v="0"/>
    <x v="0"/>
  </r>
  <r>
    <x v="0"/>
    <x v="0"/>
    <s v="SNS-SN560"/>
    <s v="SNS-EX500-241"/>
    <s v="Channel_UCW"/>
    <n v="15"/>
    <n v="13.5"/>
    <n v="202.5"/>
    <s v="OB-PAF"/>
    <s v="UCW"/>
    <n v="2000"/>
    <s v="PIT UCW"/>
    <n v="405000"/>
    <x v="0"/>
    <s v="1SNS-EX500-241SNSPIT UCW1"/>
    <n v="0.16666666666666666"/>
    <s v="1SNS-SN560PIT UCW1"/>
    <n v="1"/>
    <n v="405000"/>
    <s v="1SNS-SN560SNSSNS-EX500-2411"/>
    <n v="1"/>
    <s v="Week I"/>
    <s v="UCW"/>
    <s v="SNS-EX500-241SNS"/>
    <x v="0"/>
    <x v="0"/>
    <x v="0"/>
    <x v="0"/>
  </r>
  <r>
    <x v="0"/>
    <x v="0"/>
    <s v="SNS-SN568"/>
    <s v="SNS-EX520-239"/>
    <s v="UCEX"/>
    <n v="19"/>
    <n v="13.5"/>
    <n v="256.5"/>
    <s v="OB-PAF"/>
    <s v="UEW_WEST"/>
    <n v="2000"/>
    <s v="PIT UCEX"/>
    <n v="513000"/>
    <x v="0"/>
    <s v="1SNS-EX520-239SNSPIT UCEX1"/>
    <n v="0.2"/>
    <s v="1SNS-SN568PIT UCEX1"/>
    <n v="1"/>
    <n v="513000"/>
    <s v="1SNS-SN568SNSSNS-EX520-2391"/>
    <n v="1"/>
    <s v="Week I"/>
    <s v="UEW"/>
    <s v="SNS-EX520-239SNS"/>
    <x v="0"/>
    <x v="1"/>
    <x v="1"/>
    <x v="0"/>
  </r>
  <r>
    <x v="0"/>
    <x v="0"/>
    <s v="SNS-SN559"/>
    <s v="SNS-EX520-239"/>
    <s v="UCEX"/>
    <n v="15"/>
    <n v="13.5"/>
    <n v="202.5"/>
    <s v="OB-PAF"/>
    <s v="UEW_WEST"/>
    <n v="2000"/>
    <s v="PIT UCEX"/>
    <n v="405000"/>
    <x v="0"/>
    <s v="1SNS-EX520-239SNSPIT UCEX1"/>
    <n v="0.2"/>
    <s v="1SNS-SN559PIT UCEX1"/>
    <n v="1"/>
    <n v="405000"/>
    <s v="1SNS-SN559SNSSNS-EX520-2391"/>
    <n v="1"/>
    <s v="Week I"/>
    <s v="UEW"/>
    <s v="SNS-EX520-239SNS"/>
    <x v="0"/>
    <x v="1"/>
    <x v="1"/>
    <x v="0"/>
  </r>
  <r>
    <x v="0"/>
    <x v="0"/>
    <s v="SNS-SN569"/>
    <s v="SNS-EX520-239"/>
    <s v="UCEX"/>
    <n v="18"/>
    <n v="13.5"/>
    <n v="243"/>
    <s v="OB-PAF"/>
    <s v="UEW_WEST"/>
    <n v="2000"/>
    <s v="PIT UCEX"/>
    <n v="486000"/>
    <x v="0"/>
    <s v="1SNS-EX520-239SNSPIT UCEX1"/>
    <n v="0.2"/>
    <s v="1SNS-SN569PIT UCEX1"/>
    <n v="1"/>
    <n v="486000"/>
    <s v="1SNS-SN569SNSSNS-EX520-2391"/>
    <n v="1"/>
    <s v="Week I"/>
    <s v="UEW"/>
    <s v="SNS-EX520-239SNS"/>
    <x v="0"/>
    <x v="1"/>
    <x v="1"/>
    <x v="0"/>
  </r>
  <r>
    <x v="0"/>
    <x v="0"/>
    <s v="SNS-SN606"/>
    <s v="SNS-EX520-239"/>
    <s v="UCEX"/>
    <n v="16"/>
    <n v="13.5"/>
    <n v="216"/>
    <s v="OB-PAF"/>
    <s v="UEW_WEST"/>
    <n v="2000"/>
    <s v="PIT UCEX"/>
    <n v="432000"/>
    <x v="0"/>
    <s v="1SNS-EX520-239SNSPIT UCEX1"/>
    <n v="0.2"/>
    <s v="1SNS-SN606PIT UCEX1"/>
    <n v="1"/>
    <n v="432000"/>
    <s v="1SNS-SN606SNSSNS-EX520-2391"/>
    <n v="1"/>
    <s v="Week I"/>
    <s v="UEW"/>
    <s v="SNS-EX520-239SNS"/>
    <x v="1"/>
    <x v="1"/>
    <x v="1"/>
    <x v="0"/>
  </r>
  <r>
    <x v="0"/>
    <x v="0"/>
    <s v="SNS-SN558"/>
    <s v="SNS-EX520-239"/>
    <s v="UCEX"/>
    <n v="16"/>
    <n v="13.5"/>
    <n v="216"/>
    <s v="OB-PAF"/>
    <s v="UEW_WEST"/>
    <n v="2000"/>
    <s v="PIT UCEX"/>
    <n v="432000"/>
    <x v="0"/>
    <s v="1SNS-EX520-239SNSPIT UCEX1"/>
    <n v="0.2"/>
    <s v="1SNS-SN558PIT UCEX1"/>
    <n v="1"/>
    <n v="432000"/>
    <s v="1SNS-SN558SNSSNS-EX520-2391"/>
    <n v="1"/>
    <s v="Week I"/>
    <s v="UEW"/>
    <s v="SNS-EX520-239SNS"/>
    <x v="0"/>
    <x v="1"/>
    <x v="1"/>
    <x v="0"/>
  </r>
  <r>
    <x v="0"/>
    <x v="0"/>
    <s v="SNS-SN603"/>
    <s v="SNS-EX520-240"/>
    <s v="UCEX"/>
    <n v="15"/>
    <n v="13.5"/>
    <n v="202.5"/>
    <s v="OB-PAF"/>
    <s v="UEW_WEST"/>
    <n v="2000"/>
    <s v="PIT UCEX"/>
    <n v="405000"/>
    <x v="0"/>
    <s v="1SNS-EX520-240SNSPIT UCEX1"/>
    <n v="0.2"/>
    <s v="1SNS-SN603PIT UCEX1"/>
    <n v="1"/>
    <n v="405000"/>
    <s v="1SNS-SN603SNSSNS-EX520-2401"/>
    <n v="1"/>
    <s v="Week I"/>
    <s v="UEW"/>
    <s v="SNS-EX520-240SNS"/>
    <x v="1"/>
    <x v="1"/>
    <x v="1"/>
    <x v="0"/>
  </r>
  <r>
    <x v="0"/>
    <x v="0"/>
    <s v="SNS-SN574"/>
    <s v="SNS-EX520-240"/>
    <s v="UCEX"/>
    <n v="12"/>
    <n v="13.5"/>
    <n v="162"/>
    <s v="OB-PAF"/>
    <s v="UEW_WEST"/>
    <n v="2000"/>
    <s v="PIT UCEX"/>
    <n v="324000"/>
    <x v="0"/>
    <s v="1SNS-EX520-240SNSPIT UCEX1"/>
    <n v="0.2"/>
    <s v="1SNS-SN574PIT UCEX1"/>
    <n v="1"/>
    <n v="324000"/>
    <s v="1SNS-SN574SNSSNS-EX520-2401"/>
    <n v="1"/>
    <s v="Week I"/>
    <s v="UEW"/>
    <s v="SNS-EX520-240SNS"/>
    <x v="0"/>
    <x v="1"/>
    <x v="1"/>
    <x v="0"/>
  </r>
  <r>
    <x v="0"/>
    <x v="0"/>
    <s v="SNS-SN566"/>
    <s v="SNS-EX520-240"/>
    <s v="UCEX"/>
    <n v="16"/>
    <n v="13.5"/>
    <n v="216"/>
    <s v="OB-PAF"/>
    <s v="UEW_WEST"/>
    <n v="2000"/>
    <s v="PIT UCEX"/>
    <n v="432000"/>
    <x v="0"/>
    <s v="1SNS-EX520-240SNSPIT UCEX1"/>
    <n v="0.2"/>
    <s v="1SNS-SN566PIT UCEX1"/>
    <n v="1"/>
    <n v="432000"/>
    <s v="1SNS-SN566SNSSNS-EX520-2401"/>
    <n v="1"/>
    <s v="Week I"/>
    <s v="UEW"/>
    <s v="SNS-EX520-240SNS"/>
    <x v="0"/>
    <x v="1"/>
    <x v="1"/>
    <x v="0"/>
  </r>
  <r>
    <x v="0"/>
    <x v="0"/>
    <s v="SNS-SN557"/>
    <s v="SNS-EX520-240"/>
    <s v="UCEX"/>
    <n v="15"/>
    <n v="13.5"/>
    <n v="202.5"/>
    <s v="OB-PAF"/>
    <s v="UEW_WEST"/>
    <n v="2000"/>
    <s v="PIT UCEX"/>
    <n v="405000"/>
    <x v="0"/>
    <s v="1SNS-EX520-240SNSPIT UCEX1"/>
    <n v="0.2"/>
    <s v="1SNS-SN557PIT UCEX1"/>
    <n v="1"/>
    <n v="405000"/>
    <s v="1SNS-SN557SNSSNS-EX520-2401"/>
    <n v="1"/>
    <s v="Week I"/>
    <s v="UEW"/>
    <s v="SNS-EX520-240SNS"/>
    <x v="0"/>
    <x v="1"/>
    <x v="1"/>
    <x v="0"/>
  </r>
  <r>
    <x v="0"/>
    <x v="0"/>
    <s v="SNS-SN564"/>
    <s v="SNS-EX520-240"/>
    <s v="UCEX"/>
    <n v="14"/>
    <n v="13.5"/>
    <n v="189"/>
    <s v="OB-PAF"/>
    <s v="UEW_WEST"/>
    <n v="2000"/>
    <s v="PIT UCEX"/>
    <n v="378000"/>
    <x v="0"/>
    <s v="1SNS-EX520-240SNSPIT UCEX1"/>
    <n v="0.2"/>
    <s v="1SNS-SN564PIT UCEX1"/>
    <n v="1"/>
    <n v="378000"/>
    <s v="1SNS-SN564SNSSNS-EX520-2401"/>
    <n v="1"/>
    <s v="Week I"/>
    <s v="UEW"/>
    <s v="SNS-EX520-240SNS"/>
    <x v="0"/>
    <x v="1"/>
    <x v="1"/>
    <x v="0"/>
  </r>
  <r>
    <x v="0"/>
    <x v="0"/>
    <s v="SNS-SN609"/>
    <s v="SNS-EX520-248"/>
    <s v="UCEX"/>
    <n v="18"/>
    <n v="13.5"/>
    <n v="243"/>
    <s v="OB-PAF"/>
    <s v="UEW_WEST"/>
    <n v="2000"/>
    <s v="PIT UCEX"/>
    <n v="486000"/>
    <x v="0"/>
    <s v="1SNS-EX520-248SNSPIT UCEX1"/>
    <n v="0.2"/>
    <s v="1SNS-SN609PIT UCEX1"/>
    <n v="1"/>
    <n v="486000"/>
    <s v="1SNS-SN609SNSSNS-EX520-2481"/>
    <n v="1"/>
    <s v="Week I"/>
    <s v="UEW"/>
    <s v="SNS-EX520-248SNS"/>
    <x v="0"/>
    <x v="1"/>
    <x v="1"/>
    <x v="0"/>
  </r>
  <r>
    <x v="0"/>
    <x v="0"/>
    <s v="SNS-SN580"/>
    <s v="SNS-EX520-248"/>
    <s v="UCEX"/>
    <n v="17"/>
    <n v="13.5"/>
    <n v="229.5"/>
    <s v="OB-PAF"/>
    <s v="UEW_WEST"/>
    <n v="2000"/>
    <s v="PIT UCEX"/>
    <n v="459000"/>
    <x v="0"/>
    <s v="1SNS-EX520-248SNSPIT UCEX1"/>
    <n v="0.2"/>
    <s v="1SNS-SN580PIT UCEX1"/>
    <n v="1"/>
    <n v="459000"/>
    <s v="1SNS-SN580SNSSNS-EX520-2481"/>
    <n v="1"/>
    <s v="Week I"/>
    <s v="UEW"/>
    <s v="SNS-EX520-248SNS"/>
    <x v="0"/>
    <x v="1"/>
    <x v="1"/>
    <x v="0"/>
  </r>
  <r>
    <x v="0"/>
    <x v="0"/>
    <s v="SNS-SN604"/>
    <s v="SNS-EX520-248"/>
    <s v="UCEX"/>
    <n v="16"/>
    <n v="13.5"/>
    <n v="216"/>
    <s v="OB-PAF"/>
    <s v="UEW_WEST"/>
    <n v="2000"/>
    <s v="PIT UCEX"/>
    <n v="432000"/>
    <x v="0"/>
    <s v="1SNS-EX520-248SNSPIT UCEX1"/>
    <n v="0.2"/>
    <s v="1SNS-SN604PIT UCEX1"/>
    <n v="1"/>
    <n v="432000"/>
    <s v="1SNS-SN604SNSSNS-EX520-2481"/>
    <n v="1"/>
    <s v="Week I"/>
    <s v="UEW"/>
    <s v="SNS-EX520-248SNS"/>
    <x v="1"/>
    <x v="1"/>
    <x v="1"/>
    <x v="0"/>
  </r>
  <r>
    <x v="0"/>
    <x v="0"/>
    <s v="SNS-SN571"/>
    <s v="SNS-EX520-248"/>
    <s v="UCEX"/>
    <n v="17"/>
    <n v="13.5"/>
    <n v="229.5"/>
    <s v="OB-PAF"/>
    <s v="UEW_WEST"/>
    <n v="2000"/>
    <s v="PIT UCEX"/>
    <n v="459000"/>
    <x v="0"/>
    <s v="1SNS-EX520-248SNSPIT UCEX1"/>
    <n v="0.2"/>
    <s v="1SNS-SN571PIT UCEX1"/>
    <n v="1"/>
    <n v="459000"/>
    <s v="1SNS-SN571SNSSNS-EX520-2481"/>
    <n v="1"/>
    <s v="Week I"/>
    <s v="UEW"/>
    <s v="SNS-EX520-248SNS"/>
    <x v="0"/>
    <x v="1"/>
    <x v="1"/>
    <x v="0"/>
  </r>
  <r>
    <x v="0"/>
    <x v="0"/>
    <s v="SNS-SN608"/>
    <s v="SNS-EX520-248"/>
    <s v="UCEX"/>
    <n v="13"/>
    <n v="13.5"/>
    <n v="175.5"/>
    <s v="OB-PAF"/>
    <s v="UEW_WEST"/>
    <n v="2000"/>
    <s v="PIT UCEX"/>
    <n v="351000"/>
    <x v="0"/>
    <s v="1SNS-EX520-248SNSPIT UCEX1"/>
    <n v="0.2"/>
    <s v="1SNS-SN608PIT UCEX1"/>
    <n v="1"/>
    <n v="351000"/>
    <s v="1SNS-SN608SNSSNS-EX520-2481"/>
    <n v="1"/>
    <s v="Week I"/>
    <s v="UEW"/>
    <s v="SNS-EX520-248SNS"/>
    <x v="0"/>
    <x v="1"/>
    <x v="1"/>
    <x v="0"/>
  </r>
  <r>
    <x v="1"/>
    <x v="0"/>
    <s v="SNS-SN573"/>
    <s v="SNS-EX500-241"/>
    <s v="Channel_UCW"/>
    <n v="17"/>
    <n v="13.5"/>
    <n v="229.5"/>
    <s v="OB-PAF"/>
    <s v="UCW"/>
    <n v="2000"/>
    <s v="PIT UCW"/>
    <n v="459000"/>
    <x v="0"/>
    <s v="2SNS-EX500-241SNSPIT UCW1"/>
    <n v="0.2"/>
    <s v="2SNS-SN573PIT UCW1"/>
    <n v="1"/>
    <n v="459000"/>
    <s v="2SNS-SN573SNSSNS-EX500-2411"/>
    <n v="1"/>
    <s v="Week I"/>
    <s v="UCW"/>
    <s v="SNS-EX500-241SNS"/>
    <x v="0"/>
    <x v="0"/>
    <x v="0"/>
    <x v="0"/>
  </r>
  <r>
    <x v="1"/>
    <x v="0"/>
    <s v="SNS-SN561"/>
    <s v="SNS-EX500-241"/>
    <s v="Channel_UCW"/>
    <n v="15"/>
    <n v="13.5"/>
    <n v="202.5"/>
    <s v="OB-PAF"/>
    <s v="UCW"/>
    <n v="2000"/>
    <s v="PIT UCW"/>
    <n v="405000"/>
    <x v="0"/>
    <s v="2SNS-EX500-241SNSPIT UCW1"/>
    <n v="0.2"/>
    <s v="2SNS-SN561PIT UCW1"/>
    <n v="1"/>
    <n v="405000"/>
    <s v="2SNS-SN561SNSSNS-EX500-2411"/>
    <n v="1"/>
    <s v="Week I"/>
    <s v="UCW"/>
    <s v="SNS-EX500-241SNS"/>
    <x v="0"/>
    <x v="0"/>
    <x v="0"/>
    <x v="0"/>
  </r>
  <r>
    <x v="1"/>
    <x v="0"/>
    <s v="SNS-SN560"/>
    <s v="SNS-EX500-241"/>
    <s v="Channel_UCW"/>
    <n v="21"/>
    <n v="13.5"/>
    <n v="283.5"/>
    <s v="OB-PAF"/>
    <s v="UCW"/>
    <n v="2000"/>
    <s v="PIT UCW"/>
    <n v="567000"/>
    <x v="0"/>
    <s v="2SNS-EX500-241SNSPIT UCW1"/>
    <n v="0.2"/>
    <s v="2SNS-SN560PIT UCW1"/>
    <n v="1"/>
    <n v="567000"/>
    <s v="2SNS-SN560SNSSNS-EX500-2411"/>
    <n v="1"/>
    <s v="Week I"/>
    <s v="UCW"/>
    <s v="SNS-EX500-241SNS"/>
    <x v="0"/>
    <x v="0"/>
    <x v="0"/>
    <x v="0"/>
  </r>
  <r>
    <x v="1"/>
    <x v="0"/>
    <s v="SNS-SN579"/>
    <s v="SNS-EX500-241"/>
    <s v="Channel_UCW"/>
    <n v="22"/>
    <n v="13.5"/>
    <n v="297"/>
    <s v="OB-PAF"/>
    <s v="UCW"/>
    <n v="2000"/>
    <s v="PIT UCW"/>
    <n v="594000"/>
    <x v="0"/>
    <s v="2SNS-EX500-241SNSPIT UCW1"/>
    <n v="0.2"/>
    <s v="2SNS-SN579PIT UCW1"/>
    <n v="1"/>
    <n v="594000"/>
    <s v="2SNS-SN579SNSSNS-EX500-2411"/>
    <n v="1"/>
    <s v="Week I"/>
    <s v="UCW"/>
    <s v="SNS-EX500-241SNS"/>
    <x v="0"/>
    <x v="0"/>
    <x v="0"/>
    <x v="0"/>
  </r>
  <r>
    <x v="1"/>
    <x v="0"/>
    <s v="SNS-SN565"/>
    <s v="SNS-EX500-241"/>
    <s v="Channel_UCW"/>
    <n v="16"/>
    <n v="13.5"/>
    <n v="216"/>
    <s v="OB-PAF"/>
    <s v="UCW"/>
    <n v="2000"/>
    <s v="PIT UCW"/>
    <n v="432000"/>
    <x v="0"/>
    <s v="2SNS-EX500-241SNSPIT UCW1"/>
    <n v="0.2"/>
    <s v="2SNS-SN565PIT UCW1"/>
    <n v="1"/>
    <n v="432000"/>
    <s v="2SNS-SN565SNSSNS-EX500-2411"/>
    <n v="1"/>
    <s v="Week I"/>
    <s v="UCW"/>
    <s v="SNS-EX500-241SNS"/>
    <x v="0"/>
    <x v="0"/>
    <x v="0"/>
    <x v="0"/>
  </r>
  <r>
    <x v="1"/>
    <x v="0"/>
    <s v="SNS-SN568"/>
    <s v="SNS-EX520-239"/>
    <s v="UCEX"/>
    <n v="17"/>
    <n v="13.5"/>
    <n v="229.5"/>
    <s v="OB-PAF"/>
    <s v="UEW_WEST"/>
    <n v="2000"/>
    <s v="PIT UCEX"/>
    <n v="459000"/>
    <x v="0"/>
    <s v="2SNS-EX520-239SNSPIT UCEX1"/>
    <n v="0.2"/>
    <s v="2SNS-SN568PIT UCEX1"/>
    <n v="1"/>
    <n v="459000"/>
    <s v="2SNS-SN568SNSSNS-EX520-2391"/>
    <n v="1"/>
    <s v="Week I"/>
    <s v="UEW"/>
    <s v="SNS-EX520-239SNS"/>
    <x v="0"/>
    <x v="1"/>
    <x v="1"/>
    <x v="0"/>
  </r>
  <r>
    <x v="1"/>
    <x v="0"/>
    <s v="SNS-SN609"/>
    <s v="SNS-EX520-239"/>
    <s v="UCEX"/>
    <n v="17"/>
    <n v="13.5"/>
    <n v="229.5"/>
    <s v="OB-PAF"/>
    <s v="UEW_WEST"/>
    <n v="2000"/>
    <s v="PIT UCEX"/>
    <n v="459000"/>
    <x v="0"/>
    <s v="2SNS-EX520-239SNSPIT UCEX1"/>
    <n v="0.2"/>
    <s v="2SNS-SN609PIT UCEX1"/>
    <n v="1"/>
    <n v="459000"/>
    <s v="2SNS-SN609SNSSNS-EX520-2391"/>
    <n v="1"/>
    <s v="Week I"/>
    <s v="UEW"/>
    <s v="SNS-EX520-239SNS"/>
    <x v="0"/>
    <x v="1"/>
    <x v="1"/>
    <x v="0"/>
  </r>
  <r>
    <x v="1"/>
    <x v="0"/>
    <s v="SNS-SN569"/>
    <s v="SNS-EX520-239"/>
    <s v="UCEX"/>
    <n v="18"/>
    <n v="13.5"/>
    <n v="243"/>
    <s v="OB-PAF"/>
    <s v="UEW_WEST"/>
    <n v="2000"/>
    <s v="PIT UCEX"/>
    <n v="486000"/>
    <x v="0"/>
    <s v="2SNS-EX520-239SNSPIT UCEX1"/>
    <n v="0.2"/>
    <s v="2SNS-SN569PIT UCEX1"/>
    <n v="1"/>
    <n v="486000"/>
    <s v="2SNS-SN569SNSSNS-EX520-2391"/>
    <n v="1"/>
    <s v="Week I"/>
    <s v="UEW"/>
    <s v="SNS-EX520-239SNS"/>
    <x v="0"/>
    <x v="1"/>
    <x v="1"/>
    <x v="0"/>
  </r>
  <r>
    <x v="1"/>
    <x v="0"/>
    <s v="SNS-SN571"/>
    <s v="SNS-EX520-239"/>
    <s v="UCEX"/>
    <n v="18"/>
    <n v="13.5"/>
    <n v="243"/>
    <s v="OB-PAF"/>
    <s v="UEW_WEST"/>
    <n v="2000"/>
    <s v="PIT UCEX"/>
    <n v="486000"/>
    <x v="0"/>
    <s v="2SNS-EX520-239SNSPIT UCEX1"/>
    <n v="0.2"/>
    <s v="2SNS-SN571PIT UCEX1"/>
    <n v="1"/>
    <n v="486000"/>
    <s v="2SNS-SN571SNSSNS-EX520-2391"/>
    <n v="1"/>
    <s v="Week I"/>
    <s v="UEW"/>
    <s v="SNS-EX520-239SNS"/>
    <x v="0"/>
    <x v="1"/>
    <x v="1"/>
    <x v="0"/>
  </r>
  <r>
    <x v="1"/>
    <x v="0"/>
    <s v="SNS-SN606"/>
    <s v="SNS-EX520-239"/>
    <s v="UCEX"/>
    <n v="15"/>
    <n v="13.5"/>
    <n v="202.5"/>
    <s v="OB-PAF"/>
    <s v="UEW_WEST"/>
    <n v="2000"/>
    <s v="PIT UCEX"/>
    <n v="405000"/>
    <x v="0"/>
    <s v="2SNS-EX520-239SNSPIT UCEX1"/>
    <n v="0.2"/>
    <s v="2SNS-SN606PIT UCEX1"/>
    <n v="1"/>
    <n v="405000"/>
    <s v="2SNS-SN606SNSSNS-EX520-2391"/>
    <n v="1"/>
    <s v="Week I"/>
    <s v="UEW"/>
    <s v="SNS-EX520-239SNS"/>
    <x v="1"/>
    <x v="1"/>
    <x v="1"/>
    <x v="0"/>
  </r>
  <r>
    <x v="1"/>
    <x v="0"/>
    <s v="SNS-SN559"/>
    <s v="SNS-EX520-248"/>
    <s v="UCEX"/>
    <n v="16"/>
    <n v="13.5"/>
    <n v="216"/>
    <s v="OB-PAF"/>
    <s v="UEW_WEST"/>
    <n v="2000"/>
    <s v="PIT UCEX"/>
    <n v="432000"/>
    <x v="0"/>
    <s v="2SNS-EX520-248SNSPIT UCEX1"/>
    <n v="0.2"/>
    <s v="2SNS-SN559PIT UCEX1"/>
    <n v="1"/>
    <n v="432000"/>
    <s v="2SNS-SN559SNSSNS-EX520-2481"/>
    <n v="1"/>
    <s v="Week I"/>
    <s v="UEW"/>
    <s v="SNS-EX520-248SNS"/>
    <x v="0"/>
    <x v="1"/>
    <x v="1"/>
    <x v="0"/>
  </r>
  <r>
    <x v="1"/>
    <x v="0"/>
    <s v="SNS-SN608"/>
    <s v="SNS-EX520-248"/>
    <s v="UCEX"/>
    <n v="17"/>
    <n v="13.5"/>
    <n v="229.5"/>
    <s v="OB-PAF"/>
    <s v="UEW_WEST"/>
    <n v="2000"/>
    <s v="PIT UCEX"/>
    <n v="459000"/>
    <x v="0"/>
    <s v="2SNS-EX520-248SNSPIT UCEX1"/>
    <n v="0.2"/>
    <s v="2SNS-SN608PIT UCEX1"/>
    <n v="1"/>
    <n v="459000"/>
    <s v="2SNS-SN608SNSSNS-EX520-2481"/>
    <n v="1"/>
    <s v="Week I"/>
    <s v="UEW"/>
    <s v="SNS-EX520-248SNS"/>
    <x v="0"/>
    <x v="1"/>
    <x v="1"/>
    <x v="0"/>
  </r>
  <r>
    <x v="1"/>
    <x v="0"/>
    <s v="SNS-SN564"/>
    <s v="SNS-EX520-248"/>
    <s v="UCEX"/>
    <n v="16"/>
    <n v="13.5"/>
    <n v="216"/>
    <s v="OB-PAF"/>
    <s v="UEW_WEST"/>
    <n v="2000"/>
    <s v="PIT UCEX"/>
    <n v="432000"/>
    <x v="0"/>
    <s v="2SNS-EX520-248SNSPIT UCEX1"/>
    <n v="0.2"/>
    <s v="2SNS-SN564PIT UCEX1"/>
    <n v="1"/>
    <n v="432000"/>
    <s v="2SNS-SN564SNSSNS-EX520-2481"/>
    <n v="1"/>
    <s v="Week I"/>
    <s v="UEW"/>
    <s v="SNS-EX520-248SNS"/>
    <x v="0"/>
    <x v="1"/>
    <x v="1"/>
    <x v="0"/>
  </r>
  <r>
    <x v="1"/>
    <x v="0"/>
    <s v="SNS-SN558"/>
    <s v="SNS-EX520-248"/>
    <s v="UCEX"/>
    <n v="14"/>
    <n v="13.5"/>
    <n v="189"/>
    <s v="OB-PAF"/>
    <s v="UEW_WEST"/>
    <n v="2000"/>
    <s v="PIT UCEX"/>
    <n v="378000"/>
    <x v="0"/>
    <s v="2SNS-EX520-248SNSPIT UCEX1"/>
    <n v="0.2"/>
    <s v="2SNS-SN558PIT UCEX1"/>
    <n v="1"/>
    <n v="378000"/>
    <s v="2SNS-SN558SNSSNS-EX520-2481"/>
    <n v="1"/>
    <s v="Week I"/>
    <s v="UEW"/>
    <s v="SNS-EX520-248SNS"/>
    <x v="0"/>
    <x v="1"/>
    <x v="1"/>
    <x v="0"/>
  </r>
  <r>
    <x v="1"/>
    <x v="0"/>
    <s v="SNS-SN566"/>
    <s v="SNS-EX520-248"/>
    <s v="UCEX"/>
    <n v="15"/>
    <n v="13.5"/>
    <n v="202.5"/>
    <s v="OB-PAF"/>
    <s v="UEW_WEST"/>
    <n v="2000"/>
    <s v="PIT UCEX"/>
    <n v="405000"/>
    <x v="0"/>
    <s v="2SNS-EX520-248SNSPIT UCEX1"/>
    <n v="0.2"/>
    <s v="2SNS-SN566PIT UCEX1"/>
    <n v="1"/>
    <n v="405000"/>
    <s v="2SNS-SN566SNSSNS-EX520-2481"/>
    <n v="1"/>
    <s v="Week I"/>
    <s v="UEW"/>
    <s v="SNS-EX520-248SNS"/>
    <x v="0"/>
    <x v="1"/>
    <x v="1"/>
    <x v="0"/>
  </r>
  <r>
    <x v="1"/>
    <x v="0"/>
    <s v="SNS-SN580"/>
    <s v="SNS-EX520-240"/>
    <s v="UCEX"/>
    <n v="14"/>
    <n v="13.5"/>
    <n v="189"/>
    <s v="OB-PAF"/>
    <s v="UEW_WEST"/>
    <n v="2000"/>
    <s v="PIT UCEX"/>
    <n v="378000"/>
    <x v="0"/>
    <s v="2SNS-EX520-240SNSPIT UCEX1"/>
    <n v="0.2"/>
    <s v="2SNS-SN580PIT UCEX1"/>
    <n v="1"/>
    <n v="378000"/>
    <s v="2SNS-SN580SNSSNS-EX520-2401"/>
    <n v="1"/>
    <s v="Week I"/>
    <s v="UEW"/>
    <s v="SNS-EX520-240SNS"/>
    <x v="0"/>
    <x v="1"/>
    <x v="1"/>
    <x v="0"/>
  </r>
  <r>
    <x v="1"/>
    <x v="0"/>
    <s v="SNS-SN603"/>
    <s v="SNS-EX520-240"/>
    <s v="UCEX"/>
    <n v="14"/>
    <n v="13.5"/>
    <n v="189"/>
    <s v="OB-PAF"/>
    <s v="UEW_WEST"/>
    <n v="2000"/>
    <s v="PIT UCEX"/>
    <n v="378000"/>
    <x v="0"/>
    <s v="2SNS-EX520-240SNSPIT UCEX1"/>
    <n v="0.2"/>
    <s v="2SNS-SN603PIT UCEX1"/>
    <n v="1"/>
    <n v="378000"/>
    <s v="2SNS-SN603SNSSNS-EX520-2401"/>
    <n v="1"/>
    <s v="Week I"/>
    <s v="UEW"/>
    <s v="SNS-EX520-240SNS"/>
    <x v="1"/>
    <x v="1"/>
    <x v="1"/>
    <x v="0"/>
  </r>
  <r>
    <x v="1"/>
    <x v="0"/>
    <s v="SNS-SN604"/>
    <s v="SNS-EX520-240"/>
    <s v="UCEX"/>
    <n v="14"/>
    <n v="13.5"/>
    <n v="189"/>
    <s v="OB-PAF"/>
    <s v="UEW_WEST"/>
    <n v="2000"/>
    <s v="PIT UCEX"/>
    <n v="378000"/>
    <x v="0"/>
    <s v="2SNS-EX520-240SNSPIT UCEX1"/>
    <n v="0.2"/>
    <s v="2SNS-SN604PIT UCEX1"/>
    <n v="1"/>
    <n v="378000"/>
    <s v="2SNS-SN604SNSSNS-EX520-2401"/>
    <n v="1"/>
    <s v="Week I"/>
    <s v="UEW"/>
    <s v="SNS-EX520-240SNS"/>
    <x v="1"/>
    <x v="1"/>
    <x v="1"/>
    <x v="0"/>
  </r>
  <r>
    <x v="1"/>
    <x v="0"/>
    <s v="SNS-SN582"/>
    <s v="SNS-EX520-240"/>
    <s v="UCEX"/>
    <n v="12"/>
    <n v="13.5"/>
    <n v="162"/>
    <s v="OB-PAF"/>
    <s v="UEW_WEST"/>
    <n v="2000"/>
    <s v="PIT UCEX"/>
    <n v="324000"/>
    <x v="0"/>
    <s v="2SNS-EX520-240SNSPIT UCEX1"/>
    <n v="0.2"/>
    <s v="2SNS-SN582PIT UCEX1"/>
    <n v="1"/>
    <n v="324000"/>
    <s v="2SNS-SN582SNSSNS-EX520-2401"/>
    <n v="1"/>
    <s v="Week I"/>
    <s v="UEW"/>
    <s v="SNS-EX520-240SNS"/>
    <x v="0"/>
    <x v="1"/>
    <x v="1"/>
    <x v="0"/>
  </r>
  <r>
    <x v="1"/>
    <x v="0"/>
    <s v="SNS-SN557"/>
    <s v="SNS-EX520-240"/>
    <s v="UCEX"/>
    <n v="13"/>
    <n v="13.5"/>
    <n v="175.5"/>
    <s v="OB-PAF"/>
    <s v="UEW_WEST"/>
    <n v="2000"/>
    <s v="PIT UCEX"/>
    <n v="351000"/>
    <x v="0"/>
    <s v="2SNS-EX520-240SNSPIT UCEX1"/>
    <n v="0.2"/>
    <s v="2SNS-SN557PIT UCEX1"/>
    <n v="1"/>
    <n v="351000"/>
    <s v="2SNS-SN557SNSSNS-EX520-2401"/>
    <n v="1"/>
    <s v="Week I"/>
    <s v="UEW"/>
    <s v="SNS-EX520-240SNS"/>
    <x v="0"/>
    <x v="1"/>
    <x v="1"/>
    <x v="0"/>
  </r>
  <r>
    <x v="2"/>
    <x v="0"/>
    <s v="SNS-SN565"/>
    <s v="SNS-EX500-241"/>
    <s v="Channel_UCW"/>
    <n v="9"/>
    <n v="13.5"/>
    <n v="121.5"/>
    <s v="OB-PAF"/>
    <s v="UCW"/>
    <n v="2000"/>
    <s v="PIT UCW"/>
    <n v="243000"/>
    <x v="0"/>
    <s v="3SNS-EX500-241SNSPIT UCW1"/>
    <n v="0.25"/>
    <s v="3SNS-SN565PIT UCW1"/>
    <n v="1"/>
    <n v="243000"/>
    <s v="3SNS-SN565SNSSNS-EX500-2411"/>
    <n v="1"/>
    <s v="Week I"/>
    <s v="UCW"/>
    <s v="SNS-EX500-241SNS"/>
    <x v="0"/>
    <x v="0"/>
    <x v="0"/>
    <x v="0"/>
  </r>
  <r>
    <x v="2"/>
    <x v="0"/>
    <s v="SNS-SN560"/>
    <s v="SNS-EX500-241"/>
    <s v="Channel_UCW"/>
    <n v="14"/>
    <n v="13.5"/>
    <n v="189"/>
    <s v="OB-PAF"/>
    <s v="UCW"/>
    <n v="2000"/>
    <s v="PIT UCW"/>
    <n v="378000"/>
    <x v="0"/>
    <s v="3SNS-EX500-241SNSPIT UCW1"/>
    <n v="0.25"/>
    <s v="3SNS-SN560PIT UCW1"/>
    <n v="1"/>
    <n v="378000"/>
    <s v="3SNS-SN560SNSSNS-EX500-2411"/>
    <n v="1"/>
    <s v="Week I"/>
    <s v="UCW"/>
    <s v="SNS-EX500-241SNS"/>
    <x v="0"/>
    <x v="0"/>
    <x v="0"/>
    <x v="0"/>
  </r>
  <r>
    <x v="2"/>
    <x v="0"/>
    <s v="SNS-SN579"/>
    <s v="SNS-EX500-241"/>
    <s v="Channel_UCW"/>
    <n v="14"/>
    <n v="13.5"/>
    <n v="189"/>
    <s v="OB-PAF"/>
    <s v="UCW"/>
    <n v="2000"/>
    <s v="PIT UCW"/>
    <n v="378000"/>
    <x v="0"/>
    <s v="3SNS-EX500-241SNSPIT UCW1"/>
    <n v="0.25"/>
    <s v="3SNS-SN579PIT UCW1"/>
    <n v="1"/>
    <n v="378000"/>
    <s v="3SNS-SN579SNSSNS-EX500-2411"/>
    <n v="1"/>
    <s v="Week I"/>
    <s v="UCW"/>
    <s v="SNS-EX500-241SNS"/>
    <x v="0"/>
    <x v="0"/>
    <x v="0"/>
    <x v="0"/>
  </r>
  <r>
    <x v="2"/>
    <x v="0"/>
    <s v="SNS-SN573"/>
    <s v="SNS-EX500-241"/>
    <s v="Channel_UCW"/>
    <n v="7"/>
    <n v="13.5"/>
    <n v="94.5"/>
    <s v="OB-PAF"/>
    <s v="UCW"/>
    <n v="2000"/>
    <s v="PIT UCW"/>
    <n v="189000"/>
    <x v="0"/>
    <s v="3SNS-EX500-241SNSPIT UCW1"/>
    <n v="0.25"/>
    <s v="3SNS-SN573PIT UCW1"/>
    <n v="1"/>
    <n v="189000"/>
    <s v="3SNS-SN573SNSSNS-EX500-2411"/>
    <n v="1"/>
    <s v="Week I"/>
    <s v="UCW"/>
    <s v="SNS-EX500-241SNS"/>
    <x v="0"/>
    <x v="0"/>
    <x v="0"/>
    <x v="0"/>
  </r>
  <r>
    <x v="3"/>
    <x v="0"/>
    <s v="SNS-SN564"/>
    <s v="SNS-EX520-240"/>
    <s v="UCEX"/>
    <n v="15"/>
    <n v="13.5"/>
    <n v="202.5"/>
    <s v="OB-PAF"/>
    <s v="UEW_WEST"/>
    <n v="2000"/>
    <s v="PIT UCEX"/>
    <n v="405000"/>
    <x v="0"/>
    <s v="4SNS-EX520-240SNSPIT UCEX1"/>
    <n v="0.25"/>
    <s v="4SNS-SN564PIT UCEX1"/>
    <n v="1"/>
    <n v="405000"/>
    <s v="4SNS-SN564SNSSNS-EX520-2401"/>
    <n v="1"/>
    <s v="Week I"/>
    <s v="UEW"/>
    <s v="SNS-EX520-240SNS"/>
    <x v="0"/>
    <x v="1"/>
    <x v="1"/>
    <x v="0"/>
  </r>
  <r>
    <x v="3"/>
    <x v="0"/>
    <s v="SNS-SN566"/>
    <s v="SNS-EX520-240"/>
    <s v="UCEX"/>
    <n v="15"/>
    <n v="13.5"/>
    <n v="202.5"/>
    <s v="OB-PAF"/>
    <s v="UEW_WEST"/>
    <n v="2000"/>
    <s v="PIT UCEX"/>
    <n v="405000"/>
    <x v="0"/>
    <s v="4SNS-EX520-240SNSPIT UCEX1"/>
    <n v="0.25"/>
    <s v="4SNS-SN566PIT UCEX1"/>
    <n v="1"/>
    <n v="405000"/>
    <s v="4SNS-SN566SNSSNS-EX520-2401"/>
    <n v="1"/>
    <s v="Week I"/>
    <s v="UEW"/>
    <s v="SNS-EX520-240SNS"/>
    <x v="0"/>
    <x v="1"/>
    <x v="1"/>
    <x v="0"/>
  </r>
  <r>
    <x v="3"/>
    <x v="0"/>
    <s v="SNS-SN608"/>
    <s v="SNS-EX520-240"/>
    <s v="UCEX"/>
    <n v="15"/>
    <n v="13.5"/>
    <n v="202.5"/>
    <s v="OB-PAF"/>
    <s v="UEW_WEST"/>
    <n v="2000"/>
    <s v="PIT UCEX"/>
    <n v="405000"/>
    <x v="0"/>
    <s v="4SNS-EX520-240SNSPIT UCEX1"/>
    <n v="0.25"/>
    <s v="4SNS-SN608PIT UCEX1"/>
    <n v="1"/>
    <n v="405000"/>
    <s v="4SNS-SN608SNSSNS-EX520-2401"/>
    <n v="1"/>
    <s v="Week I"/>
    <s v="UEW"/>
    <s v="SNS-EX520-240SNS"/>
    <x v="0"/>
    <x v="1"/>
    <x v="1"/>
    <x v="0"/>
  </r>
  <r>
    <x v="3"/>
    <x v="0"/>
    <s v="SNS-SN604"/>
    <s v="SNS-EX520-240"/>
    <s v="UCEX"/>
    <n v="17"/>
    <n v="13.5"/>
    <n v="229.5"/>
    <s v="OB-PAF"/>
    <s v="UEW_WEST"/>
    <n v="2000"/>
    <s v="PIT UCEX"/>
    <n v="459000"/>
    <x v="0"/>
    <s v="4SNS-EX520-240SNSPIT UCEX1"/>
    <n v="0.25"/>
    <s v="4SNS-SN604PIT UCEX1"/>
    <n v="1"/>
    <n v="459000"/>
    <s v="4SNS-SN604SNSSNS-EX520-2401"/>
    <n v="1"/>
    <s v="Week I"/>
    <s v="UEW"/>
    <s v="SNS-EX520-240SNS"/>
    <x v="1"/>
    <x v="1"/>
    <x v="1"/>
    <x v="0"/>
  </r>
  <r>
    <x v="3"/>
    <x v="0"/>
    <s v="SNS-SN559"/>
    <s v="SNS-EX520-248"/>
    <s v="UCEX"/>
    <n v="18"/>
    <n v="13.5"/>
    <n v="243"/>
    <s v="OB-PAF"/>
    <s v="UEW_WEST"/>
    <n v="2000"/>
    <s v="PIT UCEX"/>
    <n v="486000"/>
    <x v="0"/>
    <s v="4SNS-EX520-248SNSPIT UCEX1"/>
    <n v="0.2"/>
    <s v="4SNS-SN559PIT UCEX1"/>
    <n v="1"/>
    <n v="486000"/>
    <s v="4SNS-SN559SNSSNS-EX520-2481"/>
    <n v="1"/>
    <s v="Week I"/>
    <s v="UEW"/>
    <s v="SNS-EX520-248SNS"/>
    <x v="0"/>
    <x v="1"/>
    <x v="1"/>
    <x v="0"/>
  </r>
  <r>
    <x v="3"/>
    <x v="0"/>
    <s v="SNS-SN580"/>
    <s v="SNS-EX520-248"/>
    <s v="UCEX"/>
    <n v="10"/>
    <n v="13.5"/>
    <n v="135"/>
    <s v="OB-PAF"/>
    <s v="UEW_WEST"/>
    <n v="2000"/>
    <s v="PIT UCEX"/>
    <n v="270000"/>
    <x v="0"/>
    <s v="4SNS-EX520-248SNSPIT UCEX1"/>
    <n v="0.2"/>
    <s v="4SNS-SN580PIT UCEX1"/>
    <n v="1"/>
    <n v="270000"/>
    <s v="4SNS-SN580SNSSNS-EX520-2481"/>
    <n v="1"/>
    <s v="Week I"/>
    <s v="UEW"/>
    <s v="SNS-EX520-248SNS"/>
    <x v="0"/>
    <x v="1"/>
    <x v="1"/>
    <x v="0"/>
  </r>
  <r>
    <x v="3"/>
    <x v="0"/>
    <s v="SNS-SN582"/>
    <s v="SNS-EX520-248"/>
    <s v="UCEX"/>
    <n v="17"/>
    <n v="13.5"/>
    <n v="229.5"/>
    <s v="OB-PAF"/>
    <s v="UEW_WEST"/>
    <n v="2000"/>
    <s v="PIT UCEX"/>
    <n v="459000"/>
    <x v="0"/>
    <s v="4SNS-EX520-248SNSPIT UCEX1"/>
    <n v="0.2"/>
    <s v="4SNS-SN582PIT UCEX1"/>
    <n v="1"/>
    <n v="459000"/>
    <s v="4SNS-SN582SNSSNS-EX520-2481"/>
    <n v="1"/>
    <s v="Week I"/>
    <s v="UEW"/>
    <s v="SNS-EX520-248SNS"/>
    <x v="0"/>
    <x v="1"/>
    <x v="1"/>
    <x v="0"/>
  </r>
  <r>
    <x v="3"/>
    <x v="0"/>
    <s v="SNS-SN606"/>
    <s v="SNS-EX520-248"/>
    <s v="UCEX"/>
    <n v="16"/>
    <n v="13.5"/>
    <n v="216"/>
    <s v="OB-PAF"/>
    <s v="UEW_WEST"/>
    <n v="2000"/>
    <s v="PIT UCEX"/>
    <n v="432000"/>
    <x v="0"/>
    <s v="4SNS-EX520-248SNSPIT UCEX1"/>
    <n v="0.2"/>
    <s v="4SNS-SN606PIT UCEX1"/>
    <n v="1"/>
    <n v="432000"/>
    <s v="4SNS-SN606SNSSNS-EX520-2481"/>
    <n v="1"/>
    <s v="Week I"/>
    <s v="UEW"/>
    <s v="SNS-EX520-248SNS"/>
    <x v="1"/>
    <x v="1"/>
    <x v="1"/>
    <x v="0"/>
  </r>
  <r>
    <x v="3"/>
    <x v="0"/>
    <s v="SNS-SN569"/>
    <s v="SNS-EX520-248"/>
    <s v="UCEX"/>
    <n v="17"/>
    <n v="13.5"/>
    <n v="229.5"/>
    <s v="OB-PAF"/>
    <s v="UEW_WEST"/>
    <n v="2000"/>
    <s v="PIT UCEX"/>
    <n v="459000"/>
    <x v="0"/>
    <s v="4SNS-EX520-248SNSPIT UCEX1"/>
    <n v="0.2"/>
    <s v="4SNS-SN569PIT UCEX1"/>
    <n v="1"/>
    <n v="459000"/>
    <s v="4SNS-SN569SNSSNS-EX520-2481"/>
    <n v="1"/>
    <s v="Week I"/>
    <s v="UEW"/>
    <s v="SNS-EX520-248SNS"/>
    <x v="0"/>
    <x v="1"/>
    <x v="1"/>
    <x v="0"/>
  </r>
  <r>
    <x v="3"/>
    <x v="0"/>
    <s v="SNS-SN568"/>
    <s v="SNS-EX520-239"/>
    <s v="UCEX"/>
    <n v="18"/>
    <n v="13.5"/>
    <n v="243"/>
    <s v="OB-PAF"/>
    <s v="UEW_WEST"/>
    <n v="2000"/>
    <s v="PIT UCEX"/>
    <n v="486000"/>
    <x v="0"/>
    <s v="4SNS-EX520-239SNSPIT UCEX1"/>
    <n v="0.2"/>
    <s v="4SNS-SN568PIT UCEX1"/>
    <n v="1"/>
    <n v="486000"/>
    <s v="4SNS-SN568SNSSNS-EX520-2391"/>
    <n v="1"/>
    <s v="Week I"/>
    <s v="UEW"/>
    <s v="SNS-EX520-239SNS"/>
    <x v="0"/>
    <x v="1"/>
    <x v="1"/>
    <x v="0"/>
  </r>
  <r>
    <x v="3"/>
    <x v="0"/>
    <s v="SNS-SN609"/>
    <s v="SNS-EX520-239"/>
    <s v="UCEX"/>
    <n v="17"/>
    <n v="13.5"/>
    <n v="229.5"/>
    <s v="OB-PAF"/>
    <s v="UEW_WEST"/>
    <n v="2000"/>
    <s v="PIT UCEX"/>
    <n v="459000"/>
    <x v="0"/>
    <s v="4SNS-EX520-239SNSPIT UCEX1"/>
    <n v="0.2"/>
    <s v="4SNS-SN609PIT UCEX1"/>
    <n v="1"/>
    <n v="459000"/>
    <s v="4SNS-SN609SNSSNS-EX520-2391"/>
    <n v="1"/>
    <s v="Week I"/>
    <s v="UEW"/>
    <s v="SNS-EX520-239SNS"/>
    <x v="0"/>
    <x v="1"/>
    <x v="1"/>
    <x v="0"/>
  </r>
  <r>
    <x v="3"/>
    <x v="0"/>
    <s v="SNS-SN574"/>
    <s v="SNS-EX520-239"/>
    <s v="UCEX"/>
    <n v="18"/>
    <n v="13.5"/>
    <n v="243"/>
    <s v="OB-PAF"/>
    <s v="UEW_WEST"/>
    <n v="2000"/>
    <s v="PIT UCEX"/>
    <n v="486000"/>
    <x v="0"/>
    <s v="4SNS-EX520-239SNSPIT UCEX1"/>
    <n v="0.2"/>
    <s v="4SNS-SN574PIT UCEX1"/>
    <n v="1"/>
    <n v="486000"/>
    <s v="4SNS-SN574SNSSNS-EX520-2391"/>
    <n v="1"/>
    <s v="Week I"/>
    <s v="UEW"/>
    <s v="SNS-EX520-239SNS"/>
    <x v="0"/>
    <x v="1"/>
    <x v="1"/>
    <x v="0"/>
  </r>
  <r>
    <x v="3"/>
    <x v="0"/>
    <s v="SNS-SN558"/>
    <s v="SNS-EX520-239"/>
    <s v="UCEX"/>
    <n v="18"/>
    <n v="13.5"/>
    <n v="243"/>
    <s v="OB-PAF"/>
    <s v="UEW_WEST"/>
    <n v="2000"/>
    <s v="PIT UCEX"/>
    <n v="486000"/>
    <x v="0"/>
    <s v="4SNS-EX520-239SNSPIT UCEX1"/>
    <n v="0.2"/>
    <s v="4SNS-SN558PIT UCEX1"/>
    <n v="1"/>
    <n v="486000"/>
    <s v="4SNS-SN558SNSSNS-EX520-2391"/>
    <n v="1"/>
    <s v="Week I"/>
    <s v="UEW"/>
    <s v="SNS-EX520-239SNS"/>
    <x v="0"/>
    <x v="1"/>
    <x v="1"/>
    <x v="0"/>
  </r>
  <r>
    <x v="3"/>
    <x v="0"/>
    <s v="SNS-SN557"/>
    <s v="SNS-EX520-239"/>
    <s v="UCEX"/>
    <n v="18"/>
    <n v="13.5"/>
    <n v="243"/>
    <s v="OB-PAF"/>
    <s v="UEW_WEST"/>
    <n v="2000"/>
    <s v="PIT UCEX"/>
    <n v="486000"/>
    <x v="0"/>
    <s v="4SNS-EX520-239SNSPIT UCEX1"/>
    <n v="0.2"/>
    <s v="4SNS-SN557PIT UCEX1"/>
    <n v="1"/>
    <n v="486000"/>
    <s v="4SNS-SN557SNSSNS-EX520-2391"/>
    <n v="1"/>
    <s v="Week I"/>
    <s v="UEW"/>
    <s v="SNS-EX520-239SNS"/>
    <x v="0"/>
    <x v="1"/>
    <x v="1"/>
    <x v="0"/>
  </r>
  <r>
    <x v="3"/>
    <x v="0"/>
    <s v="SNS-SN579"/>
    <s v="SNS-EX500-241"/>
    <s v="Channel_UCW"/>
    <n v="14"/>
    <n v="13.5"/>
    <n v="189"/>
    <s v="OB-PAF"/>
    <s v="UCW"/>
    <n v="2000"/>
    <s v="PIT UCW"/>
    <n v="378000"/>
    <x v="0"/>
    <s v="4SNS-EX500-241SNSPIT UCW1"/>
    <n v="0.14285714285714285"/>
    <s v="4SNS-SN579PIT UCW1"/>
    <n v="1"/>
    <n v="378000"/>
    <s v="4SNS-SN579SNSSNS-EX500-2411"/>
    <n v="1"/>
    <s v="Week I"/>
    <s v="UCW"/>
    <s v="SNS-EX500-241SNS"/>
    <x v="0"/>
    <x v="0"/>
    <x v="0"/>
    <x v="0"/>
  </r>
  <r>
    <x v="3"/>
    <x v="0"/>
    <s v="SNS-SN573"/>
    <s v="SNS-EX500-241"/>
    <s v="Channel_UCW"/>
    <n v="17"/>
    <n v="13.5"/>
    <n v="229.5"/>
    <s v="OB-PAF"/>
    <s v="UCW"/>
    <n v="2000"/>
    <s v="PIT UCW"/>
    <n v="459000"/>
    <x v="0"/>
    <s v="4SNS-EX500-241SNSPIT UCW1"/>
    <n v="0.14285714285714285"/>
    <s v="4SNS-SN573PIT UCW1"/>
    <n v="1"/>
    <n v="459000"/>
    <s v="4SNS-SN573SNSSNS-EX500-2411"/>
    <n v="1"/>
    <s v="Week I"/>
    <s v="UCW"/>
    <s v="SNS-EX500-241SNS"/>
    <x v="0"/>
    <x v="0"/>
    <x v="0"/>
    <x v="0"/>
  </r>
  <r>
    <x v="3"/>
    <x v="0"/>
    <s v="SNS-SN561"/>
    <s v="SNS-EX500-241"/>
    <s v="Channel_UCW"/>
    <n v="2"/>
    <n v="13.5"/>
    <n v="27"/>
    <s v="OB-PAF"/>
    <s v="UCW"/>
    <n v="2000"/>
    <s v="PIT UCW"/>
    <n v="54000"/>
    <x v="0"/>
    <s v="4SNS-EX500-241SNSPIT UCW1"/>
    <n v="0.14285714285714285"/>
    <s v="4SNS-SN561PIT UCW1"/>
    <n v="1"/>
    <n v="54000"/>
    <s v="4SNS-SN561SNSSNS-EX500-2411"/>
    <n v="1"/>
    <s v="Week I"/>
    <s v="UCW"/>
    <s v="SNS-EX500-241SNS"/>
    <x v="0"/>
    <x v="0"/>
    <x v="0"/>
    <x v="0"/>
  </r>
  <r>
    <x v="3"/>
    <x v="0"/>
    <s v="SNS-SN563"/>
    <s v="SNS-EX500-241"/>
    <s v="Channel_UCW"/>
    <n v="15"/>
    <n v="13.5"/>
    <n v="202.5"/>
    <s v="OB-PAF"/>
    <s v="UCW"/>
    <n v="2000"/>
    <s v="PIT UCW"/>
    <n v="405000"/>
    <x v="0"/>
    <s v="4SNS-EX500-241SNSPIT UCW1"/>
    <n v="0.14285714285714285"/>
    <s v="4SNS-SN563PIT UCW1"/>
    <n v="1"/>
    <n v="405000"/>
    <s v="4SNS-SN563SNSSNS-EX500-2411"/>
    <n v="1"/>
    <s v="Week I"/>
    <s v="UCW"/>
    <s v="SNS-EX500-241SNS"/>
    <x v="0"/>
    <x v="0"/>
    <x v="0"/>
    <x v="0"/>
  </r>
  <r>
    <x v="3"/>
    <x v="0"/>
    <s v="SNS-SN607"/>
    <s v="SNS-EX500-241"/>
    <s v="Channel_UCW"/>
    <n v="19"/>
    <n v="13.5"/>
    <n v="256.5"/>
    <s v="OB-PAF"/>
    <s v="UCW"/>
    <n v="2000"/>
    <s v="PIT UCW"/>
    <n v="513000"/>
    <x v="0"/>
    <s v="4SNS-EX500-241SNSPIT UCW1"/>
    <n v="0.14285714285714285"/>
    <s v="4SNS-SN607PIT UCW1"/>
    <n v="1"/>
    <n v="513000"/>
    <s v="4SNS-SN607SNSSNS-EX500-2411"/>
    <n v="1"/>
    <s v="Week I"/>
    <s v="UCW"/>
    <s v="SNS-EX500-241SNS"/>
    <x v="1"/>
    <x v="0"/>
    <x v="0"/>
    <x v="0"/>
  </r>
  <r>
    <x v="3"/>
    <x v="0"/>
    <s v="SNS-SN560"/>
    <s v="SNS-EX500-241"/>
    <s v="Channel_UCW"/>
    <n v="19"/>
    <n v="13.5"/>
    <n v="256.5"/>
    <s v="OB-PAF"/>
    <s v="UCW"/>
    <n v="2000"/>
    <s v="PIT UCW"/>
    <n v="513000"/>
    <x v="0"/>
    <s v="4SNS-EX500-241SNSPIT UCW1"/>
    <n v="0.14285714285714285"/>
    <s v="4SNS-SN560PIT UCW1"/>
    <n v="1"/>
    <n v="513000"/>
    <s v="4SNS-SN560SNSSNS-EX500-2411"/>
    <n v="1"/>
    <s v="Week I"/>
    <s v="UCW"/>
    <s v="SNS-EX500-241SNS"/>
    <x v="0"/>
    <x v="0"/>
    <x v="0"/>
    <x v="0"/>
  </r>
  <r>
    <x v="3"/>
    <x v="0"/>
    <s v="SNS-SN565"/>
    <s v="SNS-EX500-241"/>
    <s v="Channel_UCW"/>
    <n v="17"/>
    <n v="13.5"/>
    <n v="229.5"/>
    <s v="OB-PAF"/>
    <s v="UCW"/>
    <n v="2000"/>
    <s v="PIT UCW"/>
    <n v="459000"/>
    <x v="0"/>
    <s v="4SNS-EX500-241SNSPIT UCW1"/>
    <n v="0.14285714285714285"/>
    <s v="4SNS-SN565PIT UCW1"/>
    <n v="1"/>
    <n v="459000"/>
    <s v="4SNS-SN565SNSSNS-EX500-2411"/>
    <n v="1"/>
    <s v="Week I"/>
    <s v="UCW"/>
    <s v="SNS-EX500-241SNS"/>
    <x v="0"/>
    <x v="0"/>
    <x v="0"/>
    <x v="0"/>
  </r>
  <r>
    <x v="4"/>
    <x v="0"/>
    <s v="SNS-SN563"/>
    <s v="SNS-EX500-241"/>
    <s v="Channel_UCW"/>
    <n v="20"/>
    <n v="13.5"/>
    <n v="270"/>
    <s v="OB-PAF"/>
    <s v="UCW"/>
    <n v="2000"/>
    <s v="PIT UCW"/>
    <n v="540000"/>
    <x v="0"/>
    <s v="5SNS-EX500-241SNSPIT UCW1"/>
    <n v="0.2"/>
    <s v="5SNS-SN563PIT UCW1"/>
    <n v="1"/>
    <n v="540000"/>
    <s v="5SNS-SN563SNSSNS-EX500-2411"/>
    <n v="1"/>
    <s v="Week I"/>
    <s v="UCW"/>
    <s v="SNS-EX500-241SNS"/>
    <x v="0"/>
    <x v="0"/>
    <x v="0"/>
    <x v="0"/>
  </r>
  <r>
    <x v="4"/>
    <x v="0"/>
    <s v="SNS-SN573"/>
    <s v="SNS-EX500-241"/>
    <s v="Channel_UCW"/>
    <n v="20"/>
    <n v="13.5"/>
    <n v="270"/>
    <s v="OB-PAF"/>
    <s v="UCW"/>
    <n v="2000"/>
    <s v="PIT UCW"/>
    <n v="540000"/>
    <x v="0"/>
    <s v="5SNS-EX500-241SNSPIT UCW1"/>
    <n v="0.2"/>
    <s v="5SNS-SN573PIT UCW1"/>
    <n v="1"/>
    <n v="540000"/>
    <s v="5SNS-SN573SNSSNS-EX500-2411"/>
    <n v="1"/>
    <s v="Week I"/>
    <s v="UCW"/>
    <s v="SNS-EX500-241SNS"/>
    <x v="0"/>
    <x v="0"/>
    <x v="0"/>
    <x v="0"/>
  </r>
  <r>
    <x v="4"/>
    <x v="0"/>
    <s v="SNS-SN607"/>
    <s v="SNS-EX500-241"/>
    <s v="Channel_UCW"/>
    <n v="20"/>
    <n v="13.5"/>
    <n v="270"/>
    <s v="OB-PAF"/>
    <s v="UCW"/>
    <n v="2000"/>
    <s v="PIT UCW"/>
    <n v="540000"/>
    <x v="0"/>
    <s v="5SNS-EX500-241SNSPIT UCW1"/>
    <n v="0.2"/>
    <s v="5SNS-SN607PIT UCW1"/>
    <n v="1"/>
    <n v="540000"/>
    <s v="5SNS-SN607SNSSNS-EX500-2411"/>
    <n v="1"/>
    <s v="Week I"/>
    <s v="UCW"/>
    <s v="SNS-EX500-241SNS"/>
    <x v="1"/>
    <x v="0"/>
    <x v="0"/>
    <x v="0"/>
  </r>
  <r>
    <x v="4"/>
    <x v="0"/>
    <s v="SNS-SN560"/>
    <s v="SNS-EX500-241"/>
    <s v="Channel_UCW"/>
    <n v="17"/>
    <n v="13.5"/>
    <n v="229.5"/>
    <s v="OB-PAF"/>
    <s v="UCW"/>
    <n v="2000"/>
    <s v="PIT UCW"/>
    <n v="459000"/>
    <x v="0"/>
    <s v="5SNS-EX500-241SNSPIT UCW1"/>
    <n v="0.2"/>
    <s v="5SNS-SN560PIT UCW1"/>
    <n v="1"/>
    <n v="459000"/>
    <s v="5SNS-SN560SNSSNS-EX500-2411"/>
    <n v="1"/>
    <s v="Week I"/>
    <s v="UCW"/>
    <s v="SNS-EX500-241SNS"/>
    <x v="0"/>
    <x v="0"/>
    <x v="0"/>
    <x v="0"/>
  </r>
  <r>
    <x v="4"/>
    <x v="0"/>
    <s v="SNS-SN565"/>
    <s v="SNS-EX500-241"/>
    <s v="Channel_UCW"/>
    <n v="10"/>
    <n v="13.5"/>
    <n v="135"/>
    <s v="OB-PAF"/>
    <s v="UCW"/>
    <n v="2000"/>
    <s v="PIT UCW"/>
    <n v="270000"/>
    <x v="0"/>
    <s v="5SNS-EX500-241SNSPIT UCW1"/>
    <n v="0.2"/>
    <s v="5SNS-SN565PIT UCW1"/>
    <n v="1"/>
    <n v="270000"/>
    <s v="5SNS-SN565SNSSNS-EX500-2411"/>
    <n v="1"/>
    <s v="Week I"/>
    <s v="UCW"/>
    <s v="SNS-EX500-241SNS"/>
    <x v="0"/>
    <x v="0"/>
    <x v="0"/>
    <x v="0"/>
  </r>
  <r>
    <x v="4"/>
    <x v="0"/>
    <s v="SNS-SN564"/>
    <s v="SNS-EX520-245"/>
    <s v="UCE_TJP"/>
    <n v="18"/>
    <n v="13.5"/>
    <n v="243"/>
    <s v="OB-PAF"/>
    <s v="M2W"/>
    <n v="2000"/>
    <s v="UCE_TJP"/>
    <n v="486000"/>
    <x v="0"/>
    <s v="5SNS-EX520-245SNSUCE_TJP1"/>
    <n v="0.25"/>
    <s v="5SNS-SN564UCE_TJP1"/>
    <n v="1"/>
    <n v="486000"/>
    <s v="5SNS-SN564SNSSNS-EX520-2451"/>
    <n v="1"/>
    <s v="Week I"/>
    <s v="M2W"/>
    <s v="SNS-EX520-245SNS"/>
    <x v="0"/>
    <x v="2"/>
    <x v="2"/>
    <x v="0"/>
  </r>
  <r>
    <x v="4"/>
    <x v="0"/>
    <s v="SNS-SN559"/>
    <s v="SNS-EX520-245"/>
    <s v="UCE_TJP"/>
    <n v="18"/>
    <n v="13.5"/>
    <n v="243"/>
    <s v="OB-PAF"/>
    <s v="M2W"/>
    <n v="2000"/>
    <s v="UCE_TJP"/>
    <n v="486000"/>
    <x v="0"/>
    <s v="5SNS-EX520-245SNSUCE_TJP1"/>
    <n v="0.25"/>
    <s v="5SNS-SN559UCE_TJP1"/>
    <n v="1"/>
    <n v="486000"/>
    <s v="5SNS-SN559SNSSNS-EX520-2451"/>
    <n v="1"/>
    <s v="Week I"/>
    <s v="M2W"/>
    <s v="SNS-EX520-245SNS"/>
    <x v="0"/>
    <x v="2"/>
    <x v="2"/>
    <x v="0"/>
  </r>
  <r>
    <x v="4"/>
    <x v="0"/>
    <s v="SNS-SN603"/>
    <s v="SNS-EX520-245"/>
    <s v="UCE_TJP"/>
    <n v="17"/>
    <n v="13.5"/>
    <n v="229.5"/>
    <s v="OB-PAF"/>
    <s v="M2W"/>
    <n v="2000"/>
    <s v="UCE_TJP"/>
    <n v="459000"/>
    <x v="0"/>
    <s v="5SNS-EX520-245SNSUCE_TJP1"/>
    <n v="0.25"/>
    <s v="5SNS-SN603UCE_TJP1"/>
    <n v="1"/>
    <n v="459000"/>
    <s v="5SNS-SN603SNSSNS-EX520-2451"/>
    <n v="1"/>
    <s v="Week I"/>
    <s v="M2W"/>
    <s v="SNS-EX520-245SNS"/>
    <x v="1"/>
    <x v="2"/>
    <x v="2"/>
    <x v="0"/>
  </r>
  <r>
    <x v="4"/>
    <x v="0"/>
    <s v="SNS-SN580"/>
    <s v="SNS-EX520-245"/>
    <s v="UCE_TJP"/>
    <n v="15"/>
    <n v="13.5"/>
    <n v="202.5"/>
    <s v="OB-PAF"/>
    <s v="M2W"/>
    <n v="2000"/>
    <s v="UCE_TJP"/>
    <n v="405000"/>
    <x v="0"/>
    <s v="5SNS-EX520-245SNSUCE_TJP1"/>
    <n v="0.25"/>
    <s v="5SNS-SN580UCE_TJP1"/>
    <n v="1"/>
    <n v="405000"/>
    <s v="5SNS-SN580SNSSNS-EX520-2451"/>
    <n v="1"/>
    <s v="Week I"/>
    <s v="M2W"/>
    <s v="SNS-EX520-245SNS"/>
    <x v="0"/>
    <x v="2"/>
    <x v="2"/>
    <x v="0"/>
  </r>
  <r>
    <x v="4"/>
    <x v="0"/>
    <s v="SNS-SN566"/>
    <s v="SNS-EX520-240"/>
    <s v="UCEX"/>
    <n v="14"/>
    <n v="13.5"/>
    <n v="189"/>
    <s v="OB-PAF"/>
    <s v="UEW_WEST"/>
    <n v="2000"/>
    <s v="PIT UCEX"/>
    <n v="378000"/>
    <x v="0"/>
    <s v="5SNS-EX520-240SNSPIT UCEX1"/>
    <n v="0.2"/>
    <s v="5SNS-SN566PIT UCEX1"/>
    <n v="1"/>
    <n v="378000"/>
    <s v="5SNS-SN566SNSSNS-EX520-2401"/>
    <n v="1"/>
    <s v="Week I"/>
    <s v="UEW"/>
    <s v="SNS-EX520-240SNS"/>
    <x v="0"/>
    <x v="1"/>
    <x v="1"/>
    <x v="0"/>
  </r>
  <r>
    <x v="4"/>
    <x v="0"/>
    <s v="SNS-SN582"/>
    <s v="SNS-EX520-240"/>
    <s v="UCEX"/>
    <n v="17"/>
    <n v="13.5"/>
    <n v="229.5"/>
    <s v="OB-PAF"/>
    <s v="UEW_WEST"/>
    <n v="2000"/>
    <s v="PIT UCEX"/>
    <n v="459000"/>
    <x v="0"/>
    <s v="5SNS-EX520-240SNSPIT UCEX1"/>
    <n v="0.2"/>
    <s v="5SNS-SN582PIT UCEX1"/>
    <n v="1"/>
    <n v="459000"/>
    <s v="5SNS-SN582SNSSNS-EX520-2401"/>
    <n v="1"/>
    <s v="Week I"/>
    <s v="UEW"/>
    <s v="SNS-EX520-240SNS"/>
    <x v="0"/>
    <x v="1"/>
    <x v="1"/>
    <x v="0"/>
  </r>
  <r>
    <x v="4"/>
    <x v="0"/>
    <s v="SNS-SN609"/>
    <s v="SNS-EX520-240"/>
    <s v="UCEX"/>
    <n v="18"/>
    <n v="13.5"/>
    <n v="243"/>
    <s v="OB-PAF"/>
    <s v="UEW_WEST"/>
    <n v="2000"/>
    <s v="PIT UCEX"/>
    <n v="486000"/>
    <x v="0"/>
    <s v="5SNS-EX520-240SNSPIT UCEX1"/>
    <n v="0.2"/>
    <s v="5SNS-SN609PIT UCEX1"/>
    <n v="1"/>
    <n v="486000"/>
    <s v="5SNS-SN609SNSSNS-EX520-2401"/>
    <n v="1"/>
    <s v="Week I"/>
    <s v="UEW"/>
    <s v="SNS-EX520-240SNS"/>
    <x v="0"/>
    <x v="1"/>
    <x v="1"/>
    <x v="0"/>
  </r>
  <r>
    <x v="4"/>
    <x v="0"/>
    <s v="SNS-SN567"/>
    <s v="SNS-EX520-240"/>
    <s v="UCEX"/>
    <n v="6"/>
    <n v="13.5"/>
    <n v="81"/>
    <s v="OB-PAF"/>
    <s v="UEW_WEST"/>
    <n v="2000"/>
    <s v="PIT UCEX"/>
    <n v="162000"/>
    <x v="0"/>
    <s v="5SNS-EX520-240SNSPIT UCEX1"/>
    <n v="0.2"/>
    <s v="5SNS-SN567PIT UCEX1"/>
    <n v="0.5"/>
    <n v="162000"/>
    <s v="5SNS-SN567SNSSNS-EX520-2401"/>
    <n v="1"/>
    <s v="Week I"/>
    <s v="UEW"/>
    <s v="SNS-EX520-240SNS"/>
    <x v="0"/>
    <x v="1"/>
    <x v="1"/>
    <x v="0"/>
  </r>
  <r>
    <x v="4"/>
    <x v="0"/>
    <s v="SNS-SN568"/>
    <s v="SNS-EX520-240"/>
    <s v="UCEX"/>
    <n v="3"/>
    <n v="13.5"/>
    <n v="40.5"/>
    <s v="OB-PAF"/>
    <s v="UEW_WEST"/>
    <n v="2000"/>
    <s v="PIT UCEX"/>
    <n v="81000"/>
    <x v="0"/>
    <s v="5SNS-EX520-240SNSPIT UCEX1"/>
    <n v="0.2"/>
    <s v="5SNS-SN568PIT UCEX1"/>
    <n v="1"/>
    <n v="81000"/>
    <s v="5SNS-SN568SNSSNS-EX520-2401"/>
    <n v="1"/>
    <s v="Week I"/>
    <s v="UEW"/>
    <s v="SNS-EX520-240SNS"/>
    <x v="0"/>
    <x v="1"/>
    <x v="1"/>
    <x v="0"/>
  </r>
  <r>
    <x v="4"/>
    <x v="0"/>
    <s v="SNS-SN604"/>
    <s v="SNS-EX520-239"/>
    <s v="UCEX"/>
    <n v="20"/>
    <n v="13.5"/>
    <n v="270"/>
    <s v="OB-PAF"/>
    <s v="UEW_WEST"/>
    <n v="2000"/>
    <s v="PIT UCEX"/>
    <n v="540000"/>
    <x v="0"/>
    <s v="5SNS-EX520-239SNSPIT UCEX1"/>
    <n v="0.25"/>
    <s v="5SNS-SN604PIT UCEX1"/>
    <n v="1"/>
    <n v="540000"/>
    <s v="5SNS-SN604SNSSNS-EX520-2391"/>
    <n v="1"/>
    <s v="Week I"/>
    <s v="UEW"/>
    <s v="SNS-EX520-239SNS"/>
    <x v="1"/>
    <x v="1"/>
    <x v="1"/>
    <x v="0"/>
  </r>
  <r>
    <x v="4"/>
    <x v="0"/>
    <s v="SNS-SN557"/>
    <s v="SNS-EX520-239"/>
    <s v="UCEX"/>
    <n v="14"/>
    <n v="13.5"/>
    <n v="189"/>
    <s v="OB-PAF"/>
    <s v="UEW_WEST"/>
    <n v="2000"/>
    <s v="PIT UCEX"/>
    <n v="378000"/>
    <x v="0"/>
    <s v="5SNS-EX520-239SNSPIT UCEX1"/>
    <n v="0.25"/>
    <s v="5SNS-SN557PIT UCEX1"/>
    <n v="1"/>
    <n v="378000"/>
    <s v="5SNS-SN557SNSSNS-EX520-2391"/>
    <n v="1"/>
    <s v="Week I"/>
    <s v="UEW"/>
    <s v="SNS-EX520-239SNS"/>
    <x v="0"/>
    <x v="1"/>
    <x v="1"/>
    <x v="0"/>
  </r>
  <r>
    <x v="4"/>
    <x v="0"/>
    <s v="SNS-SN558"/>
    <s v="SNS-EX520-239"/>
    <s v="UCEX"/>
    <n v="18"/>
    <n v="13.5"/>
    <n v="243"/>
    <s v="OB-PAF"/>
    <s v="UEW_WEST"/>
    <n v="2000"/>
    <s v="PIT UCEX"/>
    <n v="486000"/>
    <x v="0"/>
    <s v="5SNS-EX520-239SNSPIT UCEX1"/>
    <n v="0.25"/>
    <s v="5SNS-SN558PIT UCEX1"/>
    <n v="1"/>
    <n v="486000"/>
    <s v="5SNS-SN558SNSSNS-EX520-2391"/>
    <n v="1"/>
    <s v="Week I"/>
    <s v="UEW"/>
    <s v="SNS-EX520-239SNS"/>
    <x v="0"/>
    <x v="1"/>
    <x v="1"/>
    <x v="0"/>
  </r>
  <r>
    <x v="4"/>
    <x v="0"/>
    <s v="SNS-SN567"/>
    <s v="SNS-EX520-239"/>
    <s v="UCEX"/>
    <n v="5"/>
    <n v="13.5"/>
    <n v="67.5"/>
    <s v="OB-PAF"/>
    <s v="UEW_WEST"/>
    <n v="2000"/>
    <s v="PIT UCEX"/>
    <n v="135000"/>
    <x v="0"/>
    <s v="5SNS-EX520-239SNSPIT UCEX1"/>
    <n v="0.25"/>
    <s v="5SNS-SN567PIT UCEX1"/>
    <n v="0.5"/>
    <n v="135000"/>
    <s v="5SNS-SN567SNSSNS-EX520-2391"/>
    <n v="1"/>
    <s v="Week I"/>
    <s v="UEW"/>
    <s v="SNS-EX520-239SNS"/>
    <x v="0"/>
    <x v="1"/>
    <x v="1"/>
    <x v="0"/>
  </r>
  <r>
    <x v="4"/>
    <x v="0"/>
    <s v="SNS-SN608"/>
    <s v="SNS-EX520-248"/>
    <s v="UCEX"/>
    <n v="18"/>
    <n v="13.5"/>
    <n v="243"/>
    <s v="OB-PAF"/>
    <s v="UEW_WEST"/>
    <n v="2000"/>
    <s v="PIT UCEX"/>
    <n v="486000"/>
    <x v="0"/>
    <s v="5SNS-EX520-248SNSPIT UCEX1"/>
    <n v="0.33333333333333331"/>
    <s v="5SNS-SN608PIT UCEX1"/>
    <n v="1"/>
    <n v="486000"/>
    <s v="5SNS-SN608SNSSNS-EX520-2481"/>
    <n v="1"/>
    <s v="Week I"/>
    <s v="UEW"/>
    <s v="SNS-EX520-248SNS"/>
    <x v="0"/>
    <x v="1"/>
    <x v="1"/>
    <x v="0"/>
  </r>
  <r>
    <x v="4"/>
    <x v="0"/>
    <s v="SNS-SN569"/>
    <s v="SNS-EX520-248"/>
    <s v="UCEX"/>
    <n v="18"/>
    <n v="13.5"/>
    <n v="243"/>
    <s v="OB-PAF"/>
    <s v="UEW_WEST"/>
    <n v="2000"/>
    <s v="PIT UCEX"/>
    <n v="486000"/>
    <x v="0"/>
    <s v="5SNS-EX520-248SNSPIT UCEX1"/>
    <n v="0.33333333333333331"/>
    <s v="5SNS-SN569PIT UCEX1"/>
    <n v="1"/>
    <n v="486000"/>
    <s v="5SNS-SN569SNSSNS-EX520-2481"/>
    <n v="1"/>
    <s v="Week I"/>
    <s v="UEW"/>
    <s v="SNS-EX520-248SNS"/>
    <x v="0"/>
    <x v="1"/>
    <x v="1"/>
    <x v="0"/>
  </r>
  <r>
    <x v="4"/>
    <x v="0"/>
    <s v="SNS-SN606"/>
    <s v="SNS-EX520-248"/>
    <s v="UCEX"/>
    <n v="18"/>
    <n v="13.5"/>
    <n v="243"/>
    <s v="OB-PAF"/>
    <s v="UEW_WEST"/>
    <n v="2000"/>
    <s v="PIT UCEX"/>
    <n v="486000"/>
    <x v="0"/>
    <s v="5SNS-EX520-248SNSPIT UCEX1"/>
    <n v="0.33333333333333331"/>
    <s v="5SNS-SN606PIT UCEX1"/>
    <n v="1"/>
    <n v="486000"/>
    <s v="5SNS-SN606SNSSNS-EX520-2481"/>
    <n v="1"/>
    <s v="Week I"/>
    <s v="UEW"/>
    <s v="SNS-EX520-248SNS"/>
    <x v="1"/>
    <x v="1"/>
    <x v="1"/>
    <x v="0"/>
  </r>
  <r>
    <x v="5"/>
    <x v="0"/>
    <s v="SNS-SN557"/>
    <s v="SNS-EX520-239"/>
    <s v="UCEX"/>
    <n v="20"/>
    <n v="13.5"/>
    <n v="270"/>
    <s v="OB-PAF"/>
    <s v="UEW_WEST"/>
    <n v="2000"/>
    <s v="PIT UCEX"/>
    <n v="540000"/>
    <x v="0"/>
    <s v="6SNS-EX520-239SNSPIT UCEX1"/>
    <n v="0.25"/>
    <s v="6SNS-SN557PIT UCEX1"/>
    <n v="1"/>
    <n v="540000"/>
    <s v="6SNS-SN557SNSSNS-EX520-2391"/>
    <n v="1"/>
    <s v="Week II"/>
    <s v="UEW"/>
    <s v="SNS-EX520-239SNS"/>
    <x v="0"/>
    <x v="1"/>
    <x v="1"/>
    <x v="0"/>
  </r>
  <r>
    <x v="5"/>
    <x v="0"/>
    <s v="SNS-SN558"/>
    <s v="SNS-EX520-239"/>
    <s v="UCEX"/>
    <n v="22"/>
    <n v="13.5"/>
    <n v="297"/>
    <s v="OB-PAF"/>
    <s v="UEW_WEST"/>
    <n v="2000"/>
    <s v="PIT UCEX"/>
    <n v="594000"/>
    <x v="0"/>
    <s v="6SNS-EX520-239SNSPIT UCEX1"/>
    <n v="0.25"/>
    <s v="6SNS-SN558PIT UCEX1"/>
    <n v="1"/>
    <n v="594000"/>
    <s v="6SNS-SN558SNSSNS-EX520-2391"/>
    <n v="1"/>
    <s v="Week II"/>
    <s v="UEW"/>
    <s v="SNS-EX520-239SNS"/>
    <x v="0"/>
    <x v="1"/>
    <x v="1"/>
    <x v="0"/>
  </r>
  <r>
    <x v="5"/>
    <x v="0"/>
    <s v="SNS-SN606"/>
    <s v="SNS-EX520-239"/>
    <s v="UCEX"/>
    <n v="22"/>
    <n v="13.5"/>
    <n v="297"/>
    <s v="OB-PAF"/>
    <s v="UEW_WEST"/>
    <n v="2000"/>
    <s v="PIT UCEX"/>
    <n v="594000"/>
    <x v="0"/>
    <s v="6SNS-EX520-239SNSPIT UCEX1"/>
    <n v="0.25"/>
    <s v="6SNS-SN606PIT UCEX1"/>
    <n v="1"/>
    <n v="594000"/>
    <s v="6SNS-SN606SNSSNS-EX520-2391"/>
    <n v="1"/>
    <s v="Week II"/>
    <s v="UEW"/>
    <s v="SNS-EX520-239SNS"/>
    <x v="1"/>
    <x v="1"/>
    <x v="1"/>
    <x v="0"/>
  </r>
  <r>
    <x v="5"/>
    <x v="0"/>
    <s v="SNS-SN566"/>
    <s v="SNS-EX520-239"/>
    <s v="UCEX"/>
    <n v="19"/>
    <n v="13.5"/>
    <n v="256.5"/>
    <s v="OB-PAF"/>
    <s v="UEW_WEST"/>
    <n v="2000"/>
    <s v="PIT UCEX"/>
    <n v="513000"/>
    <x v="0"/>
    <s v="6SNS-EX520-239SNSPIT UCEX1"/>
    <n v="0.25"/>
    <s v="6SNS-SN566PIT UCEX1"/>
    <n v="1"/>
    <n v="513000"/>
    <s v="6SNS-SN566SNSSNS-EX520-2391"/>
    <n v="1"/>
    <s v="Week II"/>
    <s v="UEW"/>
    <s v="SNS-EX520-239SNS"/>
    <x v="0"/>
    <x v="1"/>
    <x v="1"/>
    <x v="0"/>
  </r>
  <r>
    <x v="5"/>
    <x v="0"/>
    <s v="SNS-SN603"/>
    <s v="SNS-EX520-245"/>
    <s v="UCE_TJP"/>
    <n v="17"/>
    <n v="13.5"/>
    <n v="229.5"/>
    <s v="OB-PAF"/>
    <s v="M2W"/>
    <n v="2000"/>
    <s v="UCE_TJP"/>
    <n v="459000"/>
    <x v="0"/>
    <s v="6SNS-EX520-245SNSUCE_TJP1"/>
    <n v="0.25"/>
    <s v="6SNS-SN603UCE_TJP1"/>
    <n v="1"/>
    <n v="459000"/>
    <s v="6SNS-SN603SNSSNS-EX520-2451"/>
    <n v="1"/>
    <s v="Week II"/>
    <s v="M2W"/>
    <s v="SNS-EX520-245SNS"/>
    <x v="1"/>
    <x v="2"/>
    <x v="2"/>
    <x v="0"/>
  </r>
  <r>
    <x v="5"/>
    <x v="0"/>
    <s v="SNS-SN559"/>
    <s v="SNS-EX520-245"/>
    <s v="UCE_TJP"/>
    <n v="17"/>
    <n v="13.5"/>
    <n v="229.5"/>
    <s v="OB-PAF"/>
    <s v="M2W"/>
    <n v="2000"/>
    <s v="UCE_TJP"/>
    <n v="459000"/>
    <x v="0"/>
    <s v="6SNS-EX520-245SNSUCE_TJP1"/>
    <n v="0.25"/>
    <s v="6SNS-SN559UCE_TJP1"/>
    <n v="1"/>
    <n v="459000"/>
    <s v="6SNS-SN559SNSSNS-EX520-2451"/>
    <n v="1"/>
    <s v="Week II"/>
    <s v="M2W"/>
    <s v="SNS-EX520-245SNS"/>
    <x v="0"/>
    <x v="2"/>
    <x v="2"/>
    <x v="0"/>
  </r>
  <r>
    <x v="5"/>
    <x v="0"/>
    <s v="SNS-SN564"/>
    <s v="SNS-EX520-245"/>
    <s v="UCE_TJP"/>
    <n v="17"/>
    <n v="13.5"/>
    <n v="229.5"/>
    <s v="OB-PAF"/>
    <s v="M2W"/>
    <n v="2000"/>
    <s v="UCE_TJP"/>
    <n v="459000"/>
    <x v="0"/>
    <s v="6SNS-EX520-245SNSUCE_TJP1"/>
    <n v="0.25"/>
    <s v="6SNS-SN564UCE_TJP1"/>
    <n v="1"/>
    <n v="459000"/>
    <s v="6SNS-SN564SNSSNS-EX520-2451"/>
    <n v="1"/>
    <s v="Week II"/>
    <s v="M2W"/>
    <s v="SNS-EX520-245SNS"/>
    <x v="0"/>
    <x v="2"/>
    <x v="2"/>
    <x v="0"/>
  </r>
  <r>
    <x v="5"/>
    <x v="0"/>
    <s v="SNS-SN580"/>
    <s v="SNS-EX520-245"/>
    <s v="UCE_TJP"/>
    <n v="16"/>
    <n v="13.5"/>
    <n v="216"/>
    <s v="OB-PAF"/>
    <s v="M2W"/>
    <n v="2000"/>
    <s v="UCE_TJP"/>
    <n v="432000"/>
    <x v="0"/>
    <s v="6SNS-EX520-245SNSUCE_TJP1"/>
    <n v="0.25"/>
    <s v="6SNS-SN580UCE_TJP1"/>
    <n v="1"/>
    <n v="432000"/>
    <s v="6SNS-SN580SNSSNS-EX520-2451"/>
    <n v="1"/>
    <s v="Week II"/>
    <s v="M2W"/>
    <s v="SNS-EX520-245SNS"/>
    <x v="0"/>
    <x v="2"/>
    <x v="2"/>
    <x v="0"/>
  </r>
  <r>
    <x v="5"/>
    <x v="0"/>
    <s v="SNS-SN604"/>
    <s v="SNS-EX520-240"/>
    <s v="UCEX"/>
    <n v="22"/>
    <n v="13.5"/>
    <n v="297"/>
    <s v="OB-PAF"/>
    <s v="UEW_WEST"/>
    <n v="2000"/>
    <s v="PIT UCEX"/>
    <n v="594000"/>
    <x v="0"/>
    <s v="6SNS-EX520-240SNSPIT UCEX1"/>
    <n v="0.25"/>
    <s v="6SNS-SN604PIT UCEX1"/>
    <n v="1"/>
    <n v="594000"/>
    <s v="6SNS-SN604SNSSNS-EX520-2401"/>
    <n v="1"/>
    <s v="Week II"/>
    <s v="UEW"/>
    <s v="SNS-EX520-240SNS"/>
    <x v="1"/>
    <x v="1"/>
    <x v="1"/>
    <x v="0"/>
  </r>
  <r>
    <x v="5"/>
    <x v="0"/>
    <s v="SNS-SN582"/>
    <s v="SNS-EX520-240"/>
    <s v="UCEX"/>
    <n v="21"/>
    <n v="13.5"/>
    <n v="283.5"/>
    <s v="OB-PAF"/>
    <s v="UEW_WEST"/>
    <n v="2000"/>
    <s v="PIT UCEX"/>
    <n v="567000"/>
    <x v="0"/>
    <s v="6SNS-EX520-240SNSPIT UCEX1"/>
    <n v="0.25"/>
    <s v="6SNS-SN582PIT UCEX1"/>
    <n v="1"/>
    <n v="567000"/>
    <s v="6SNS-SN582SNSSNS-EX520-2401"/>
    <n v="1"/>
    <s v="Week II"/>
    <s v="UEW"/>
    <s v="SNS-EX520-240SNS"/>
    <x v="0"/>
    <x v="1"/>
    <x v="1"/>
    <x v="0"/>
  </r>
  <r>
    <x v="5"/>
    <x v="0"/>
    <s v="SNS-SN608"/>
    <s v="SNS-EX520-240"/>
    <s v="UCEX"/>
    <n v="22"/>
    <n v="13.5"/>
    <n v="297"/>
    <s v="OB-PAF"/>
    <s v="UEW_WEST"/>
    <n v="2000"/>
    <s v="PIT UCEX"/>
    <n v="594000"/>
    <x v="0"/>
    <s v="6SNS-EX520-240SNSPIT UCEX1"/>
    <n v="0.25"/>
    <s v="6SNS-SN608PIT UCEX1"/>
    <n v="1"/>
    <n v="594000"/>
    <s v="6SNS-SN608SNSSNS-EX520-2401"/>
    <n v="1"/>
    <s v="Week II"/>
    <s v="UEW"/>
    <s v="SNS-EX520-240SNS"/>
    <x v="0"/>
    <x v="1"/>
    <x v="1"/>
    <x v="0"/>
  </r>
  <r>
    <x v="5"/>
    <x v="0"/>
    <s v="SNS-SN561"/>
    <s v="SNS-EX520-240"/>
    <s v="UCEX"/>
    <n v="19"/>
    <n v="13.5"/>
    <n v="256.5"/>
    <s v="OB-PAF"/>
    <s v="UEW_WEST"/>
    <n v="2000"/>
    <s v="PIT UCEX"/>
    <n v="513000"/>
    <x v="0"/>
    <s v="6SNS-EX520-240SNSPIT UCEX1"/>
    <n v="0.25"/>
    <s v="6SNS-SN561PIT UCEX1"/>
    <n v="1"/>
    <n v="513000"/>
    <s v="6SNS-SN561SNSSNS-EX520-2401"/>
    <n v="1"/>
    <s v="Week II"/>
    <s v="UEW"/>
    <s v="SNS-EX520-240SNS"/>
    <x v="0"/>
    <x v="1"/>
    <x v="1"/>
    <x v="0"/>
  </r>
  <r>
    <x v="5"/>
    <x v="0"/>
    <s v="SNS-SN569"/>
    <s v="SNS-EX520-248"/>
    <s v="UCEX"/>
    <n v="18"/>
    <n v="13.5"/>
    <n v="243"/>
    <s v="OB-PAF"/>
    <s v="UEW_WEST"/>
    <n v="2000"/>
    <s v="PIT UCEX"/>
    <n v="486000"/>
    <x v="0"/>
    <s v="6SNS-EX520-248SNSPIT UCEX1"/>
    <n v="0.25"/>
    <s v="6SNS-SN569PIT UCEX1"/>
    <n v="1"/>
    <n v="486000"/>
    <s v="6SNS-SN569SNSSNS-EX520-2481"/>
    <n v="1"/>
    <s v="Week II"/>
    <s v="UEW"/>
    <s v="SNS-EX520-248SNS"/>
    <x v="0"/>
    <x v="1"/>
    <x v="1"/>
    <x v="0"/>
  </r>
  <r>
    <x v="5"/>
    <x v="0"/>
    <s v="SNS-SN609"/>
    <s v="SNS-EX520-248"/>
    <s v="UCEX"/>
    <n v="17"/>
    <n v="13.5"/>
    <n v="229.5"/>
    <s v="OB-PAF"/>
    <s v="UEW_WEST"/>
    <n v="2000"/>
    <s v="PIT UCEX"/>
    <n v="459000"/>
    <x v="0"/>
    <s v="6SNS-EX520-248SNSPIT UCEX1"/>
    <n v="0.25"/>
    <s v="6SNS-SN609PIT UCEX1"/>
    <n v="1"/>
    <n v="459000"/>
    <s v="6SNS-SN609SNSSNS-EX520-2481"/>
    <n v="1"/>
    <s v="Week II"/>
    <s v="UEW"/>
    <s v="SNS-EX520-248SNS"/>
    <x v="0"/>
    <x v="1"/>
    <x v="1"/>
    <x v="0"/>
  </r>
  <r>
    <x v="5"/>
    <x v="0"/>
    <s v="SNS-SN568"/>
    <s v="SNS-EX520-248"/>
    <s v="UCEX"/>
    <n v="18"/>
    <n v="13.5"/>
    <n v="243"/>
    <s v="OB-PAF"/>
    <s v="UEW_WEST"/>
    <n v="2000"/>
    <s v="PIT UCEX"/>
    <n v="486000"/>
    <x v="0"/>
    <s v="6SNS-EX520-248SNSPIT UCEX1"/>
    <n v="0.25"/>
    <s v="6SNS-SN568PIT UCEX1"/>
    <n v="1"/>
    <n v="486000"/>
    <s v="6SNS-SN568SNSSNS-EX520-2481"/>
    <n v="1"/>
    <s v="Week II"/>
    <s v="UEW"/>
    <s v="SNS-EX520-248SNS"/>
    <x v="0"/>
    <x v="1"/>
    <x v="1"/>
    <x v="0"/>
  </r>
  <r>
    <x v="5"/>
    <x v="0"/>
    <s v="SNS-SN571"/>
    <s v="SNS-EX520-248"/>
    <s v="UCEX"/>
    <n v="17"/>
    <n v="13.5"/>
    <n v="229.5"/>
    <s v="OB-PAF"/>
    <s v="UEW_WEST"/>
    <n v="2000"/>
    <s v="PIT UCEX"/>
    <n v="459000"/>
    <x v="0"/>
    <s v="6SNS-EX520-248SNSPIT UCEX1"/>
    <n v="0.25"/>
    <s v="6SNS-SN571PIT UCEX1"/>
    <n v="1"/>
    <n v="459000"/>
    <s v="6SNS-SN571SNSSNS-EX520-2481"/>
    <n v="1"/>
    <s v="Week II"/>
    <s v="UEW"/>
    <s v="SNS-EX520-248SNS"/>
    <x v="0"/>
    <x v="1"/>
    <x v="1"/>
    <x v="0"/>
  </r>
  <r>
    <x v="5"/>
    <x v="0"/>
    <s v="SNS-SN563"/>
    <s v="SNS-EX500-241"/>
    <s v="Channel_UCW"/>
    <n v="22"/>
    <n v="13.5"/>
    <n v="297"/>
    <s v="OB-PAF"/>
    <s v="UCW"/>
    <n v="2000"/>
    <s v="PIT UCW"/>
    <n v="594000"/>
    <x v="0"/>
    <s v="6SNS-EX500-241SNSPIT UCW1"/>
    <n v="0.2"/>
    <s v="6SNS-SN563PIT UCW1"/>
    <n v="1"/>
    <n v="594000"/>
    <s v="6SNS-SN563SNSSNS-EX500-2411"/>
    <n v="1"/>
    <s v="Week II"/>
    <s v="UCW"/>
    <s v="SNS-EX500-241SNS"/>
    <x v="0"/>
    <x v="0"/>
    <x v="0"/>
    <x v="0"/>
  </r>
  <r>
    <x v="5"/>
    <x v="0"/>
    <s v="SNS-SN560"/>
    <s v="SNS-EX500-241"/>
    <s v="Channel_UCW"/>
    <n v="23"/>
    <n v="13.5"/>
    <n v="310.5"/>
    <s v="OB-PAF"/>
    <s v="UCW"/>
    <n v="2000"/>
    <s v="PIT UCW"/>
    <n v="621000"/>
    <x v="0"/>
    <s v="6SNS-EX500-241SNSPIT UCW1"/>
    <n v="0.2"/>
    <s v="6SNS-SN560PIT UCW1"/>
    <n v="1"/>
    <n v="621000"/>
    <s v="6SNS-SN560SNSSNS-EX500-2411"/>
    <n v="1"/>
    <s v="Week II"/>
    <s v="UCW"/>
    <s v="SNS-EX500-241SNS"/>
    <x v="0"/>
    <x v="0"/>
    <x v="0"/>
    <x v="0"/>
  </r>
  <r>
    <x v="5"/>
    <x v="0"/>
    <s v="SNS-SN565"/>
    <s v="SNS-EX500-241"/>
    <s v="Channel_UCW"/>
    <n v="11"/>
    <n v="13.5"/>
    <n v="148.5"/>
    <s v="OB-PAF"/>
    <s v="UCW"/>
    <n v="2000"/>
    <s v="PIT UCW"/>
    <n v="297000"/>
    <x v="0"/>
    <s v="6SNS-EX500-241SNSPIT UCW1"/>
    <n v="0.2"/>
    <s v="6SNS-SN565PIT UCW1"/>
    <n v="1"/>
    <n v="297000"/>
    <s v="6SNS-SN565SNSSNS-EX500-2411"/>
    <n v="1"/>
    <s v="Week II"/>
    <s v="UCW"/>
    <s v="SNS-EX500-241SNS"/>
    <x v="0"/>
    <x v="0"/>
    <x v="0"/>
    <x v="0"/>
  </r>
  <r>
    <x v="5"/>
    <x v="0"/>
    <s v="SNS-SN573"/>
    <s v="SNS-EX500-241"/>
    <s v="Channel_UCW"/>
    <n v="26"/>
    <n v="13.5"/>
    <n v="351"/>
    <s v="OB-PAF"/>
    <s v="UCW"/>
    <n v="2000"/>
    <s v="PIT UCW"/>
    <n v="702000"/>
    <x v="0"/>
    <s v="6SNS-EX500-241SNSPIT UCW1"/>
    <n v="0.2"/>
    <s v="6SNS-SN573PIT UCW1"/>
    <n v="1"/>
    <n v="702000"/>
    <s v="6SNS-SN573SNSSNS-EX500-2411"/>
    <n v="1"/>
    <s v="Week II"/>
    <s v="UCW"/>
    <s v="SNS-EX500-241SNS"/>
    <x v="0"/>
    <x v="0"/>
    <x v="0"/>
    <x v="0"/>
  </r>
  <r>
    <x v="5"/>
    <x v="0"/>
    <s v="SNS-SN607"/>
    <s v="SNS-EX500-241"/>
    <s v="Channel_UCW"/>
    <n v="24"/>
    <n v="13.5"/>
    <n v="324"/>
    <s v="OB-PAF"/>
    <s v="UCW"/>
    <n v="2000"/>
    <s v="PIT UCW"/>
    <n v="648000"/>
    <x v="0"/>
    <s v="6SNS-EX500-241SNSPIT UCW1"/>
    <n v="0.2"/>
    <s v="6SNS-SN607PIT UCW1"/>
    <n v="1"/>
    <n v="648000"/>
    <s v="6SNS-SN607SNSSNS-EX500-2411"/>
    <n v="1"/>
    <s v="Week II"/>
    <s v="UCW"/>
    <s v="SNS-EX500-241SNS"/>
    <x v="1"/>
    <x v="0"/>
    <x v="0"/>
    <x v="0"/>
  </r>
  <r>
    <x v="6"/>
    <x v="0"/>
    <s v="SNS-SN566"/>
    <s v="SNS-EX520-239"/>
    <s v="UCEX"/>
    <n v="10"/>
    <n v="13.5"/>
    <n v="135"/>
    <s v="OB-PAF"/>
    <s v="UEW_WEST"/>
    <n v="2000"/>
    <s v="PIT UCEX"/>
    <n v="270000"/>
    <x v="0"/>
    <s v="7SNS-EX520-239SNSPIT UCEX1"/>
    <n v="0.2"/>
    <s v="7SNS-SN566PIT UCEX1"/>
    <n v="1"/>
    <n v="270000"/>
    <s v="7SNS-SN566SNSSNS-EX520-2391"/>
    <n v="1"/>
    <s v="Week II"/>
    <s v="UEW"/>
    <s v="SNS-EX520-239SNS"/>
    <x v="0"/>
    <x v="1"/>
    <x v="1"/>
    <x v="0"/>
  </r>
  <r>
    <x v="6"/>
    <x v="0"/>
    <s v="SNS-SN609"/>
    <s v="SNS-EX520-239"/>
    <s v="UCEX"/>
    <n v="23"/>
    <n v="13.5"/>
    <n v="310.5"/>
    <s v="OB-PAF"/>
    <s v="UEW_WEST"/>
    <n v="2000"/>
    <s v="PIT UCEX"/>
    <n v="621000"/>
    <x v="0"/>
    <s v="7SNS-EX520-239SNSPIT UCEX1"/>
    <n v="0.2"/>
    <s v="7SNS-SN609PIT UCEX1"/>
    <n v="1"/>
    <n v="621000"/>
    <s v="7SNS-SN609SNSSNS-EX520-2391"/>
    <n v="1"/>
    <s v="Week II"/>
    <s v="UEW"/>
    <s v="SNS-EX520-239SNS"/>
    <x v="0"/>
    <x v="1"/>
    <x v="1"/>
    <x v="0"/>
  </r>
  <r>
    <x v="6"/>
    <x v="0"/>
    <s v="SNS-SN558"/>
    <s v="SNS-EX520-239"/>
    <s v="UCEX"/>
    <n v="25"/>
    <n v="13.5"/>
    <n v="337.5"/>
    <s v="OB-PAF"/>
    <s v="UEW_WEST"/>
    <n v="2000"/>
    <s v="PIT UCEX"/>
    <n v="675000"/>
    <x v="0"/>
    <s v="7SNS-EX520-239SNSPIT UCEX1"/>
    <n v="0.2"/>
    <s v="7SNS-SN558PIT UCEX1"/>
    <n v="1"/>
    <n v="675000"/>
    <s v="7SNS-SN558SNSSNS-EX520-2391"/>
    <n v="1"/>
    <s v="Week II"/>
    <s v="UEW"/>
    <s v="SNS-EX520-239SNS"/>
    <x v="0"/>
    <x v="1"/>
    <x v="1"/>
    <x v="0"/>
  </r>
  <r>
    <x v="6"/>
    <x v="0"/>
    <s v="SNS-SN574"/>
    <s v="SNS-EX520-239"/>
    <s v="UCEX"/>
    <n v="1"/>
    <n v="13.5"/>
    <n v="13.5"/>
    <s v="OB-PAF"/>
    <s v="UEW_WEST"/>
    <n v="2000"/>
    <s v="PIT UCEX"/>
    <n v="27000"/>
    <x v="0"/>
    <s v="7SNS-EX520-239SNSPIT UCEX1"/>
    <n v="0.2"/>
    <s v="7SNS-SN574PIT UCEX1"/>
    <n v="0.5"/>
    <n v="27000"/>
    <s v="7SNS-SN574SNSSNS-EX520-2391"/>
    <n v="1"/>
    <s v="Week II"/>
    <s v="UEW"/>
    <s v="SNS-EX520-239SNS"/>
    <x v="0"/>
    <x v="1"/>
    <x v="1"/>
    <x v="0"/>
  </r>
  <r>
    <x v="6"/>
    <x v="0"/>
    <s v="SNS-SN604"/>
    <s v="SNS-EX520-239"/>
    <s v="UCEX"/>
    <n v="10"/>
    <n v="13.5"/>
    <n v="135"/>
    <s v="OB-PAF"/>
    <s v="UEW_WEST"/>
    <n v="2000"/>
    <s v="PIT UCEX"/>
    <n v="270000"/>
    <x v="0"/>
    <s v="7SNS-EX520-239SNSPIT UCEX1"/>
    <n v="0.2"/>
    <s v="7SNS-SN604PIT UCEX1"/>
    <n v="0.5"/>
    <n v="270000"/>
    <s v="7SNS-SN604SNSSNS-EX520-2391"/>
    <n v="1"/>
    <s v="Week II"/>
    <s v="UEW"/>
    <s v="SNS-EX520-239SNS"/>
    <x v="1"/>
    <x v="1"/>
    <x v="1"/>
    <x v="0"/>
  </r>
  <r>
    <x v="6"/>
    <x v="0"/>
    <s v="SNS-SN608"/>
    <s v="SNS-EX520-240"/>
    <s v="UCEX"/>
    <n v="23"/>
    <n v="13.5"/>
    <n v="310.5"/>
    <s v="OB-PAF"/>
    <s v="UEW_WEST"/>
    <n v="2000"/>
    <s v="PIT UCEX"/>
    <n v="621000"/>
    <x v="0"/>
    <s v="7SNS-EX520-240SNSPIT UCEX1"/>
    <n v="0.25"/>
    <s v="7SNS-SN608PIT UCEX1"/>
    <n v="1"/>
    <n v="621000"/>
    <s v="7SNS-SN608SNSSNS-EX520-2401"/>
    <n v="1"/>
    <s v="Week II"/>
    <s v="UEW"/>
    <s v="SNS-EX520-240SNS"/>
    <x v="0"/>
    <x v="1"/>
    <x v="1"/>
    <x v="0"/>
  </r>
  <r>
    <x v="6"/>
    <x v="0"/>
    <s v="SNS-SN579"/>
    <s v="SNS-EX520-240"/>
    <s v="UCEX"/>
    <n v="21"/>
    <n v="13.5"/>
    <n v="283.5"/>
    <s v="OB-PAF"/>
    <s v="UEW_WEST"/>
    <n v="2000"/>
    <s v="PIT UCEX"/>
    <n v="567000"/>
    <x v="0"/>
    <s v="7SNS-EX520-240SNSPIT UCEX1"/>
    <n v="0.25"/>
    <s v="7SNS-SN579PIT UCEX1"/>
    <n v="1"/>
    <n v="567000"/>
    <s v="7SNS-SN579SNSSNS-EX520-2401"/>
    <n v="1"/>
    <s v="Week II"/>
    <s v="UEW"/>
    <s v="SNS-EX520-240SNS"/>
    <x v="0"/>
    <x v="1"/>
    <x v="1"/>
    <x v="0"/>
  </r>
  <r>
    <x v="6"/>
    <x v="0"/>
    <s v="SNS-SN582"/>
    <s v="SNS-EX520-240"/>
    <s v="UCEX"/>
    <n v="22"/>
    <n v="13.5"/>
    <n v="297"/>
    <s v="OB-PAF"/>
    <s v="UEW_WEST"/>
    <n v="2000"/>
    <s v="PIT UCEX"/>
    <n v="594000"/>
    <x v="0"/>
    <s v="7SNS-EX520-240SNSPIT UCEX1"/>
    <n v="0.25"/>
    <s v="7SNS-SN582PIT UCEX1"/>
    <n v="1"/>
    <n v="594000"/>
    <s v="7SNS-SN582SNSSNS-EX520-2401"/>
    <n v="1"/>
    <s v="Week II"/>
    <s v="UEW"/>
    <s v="SNS-EX520-240SNS"/>
    <x v="0"/>
    <x v="1"/>
    <x v="1"/>
    <x v="0"/>
  </r>
  <r>
    <x v="6"/>
    <x v="0"/>
    <s v="SNS-SN574"/>
    <s v="SNS-EX520-240"/>
    <s v="UCEX"/>
    <n v="6"/>
    <n v="13.5"/>
    <n v="81"/>
    <s v="OB-PAF"/>
    <s v="UEW_WEST"/>
    <n v="2000"/>
    <s v="PIT UCEX"/>
    <n v="162000"/>
    <x v="0"/>
    <s v="7SNS-EX520-240SNSPIT UCEX1"/>
    <n v="0.25"/>
    <s v="7SNS-SN574PIT UCEX1"/>
    <n v="0.5"/>
    <n v="162000"/>
    <s v="7SNS-SN574SNSSNS-EX520-2401"/>
    <n v="1"/>
    <s v="Week II"/>
    <s v="UEW"/>
    <s v="SNS-EX520-240SNS"/>
    <x v="0"/>
    <x v="1"/>
    <x v="1"/>
    <x v="0"/>
  </r>
  <r>
    <x v="6"/>
    <x v="0"/>
    <s v="SNS-SN568"/>
    <s v="SNS-EX520-248"/>
    <s v="UCEX"/>
    <n v="20"/>
    <n v="13.5"/>
    <n v="270"/>
    <s v="OB-PAF"/>
    <s v="UEW_WEST"/>
    <n v="2000"/>
    <s v="PIT UCEX"/>
    <n v="540000"/>
    <x v="0"/>
    <s v="7SNS-EX520-248SNSPIT UCEX1"/>
    <n v="0.25"/>
    <s v="7SNS-SN568PIT UCEX1"/>
    <n v="1"/>
    <n v="540000"/>
    <s v="7SNS-SN568SNSSNS-EX520-2481"/>
    <n v="1"/>
    <s v="Week II"/>
    <s v="UEW"/>
    <s v="SNS-EX520-248SNS"/>
    <x v="0"/>
    <x v="1"/>
    <x v="1"/>
    <x v="0"/>
  </r>
  <r>
    <x v="6"/>
    <x v="0"/>
    <s v="SNS-SN604"/>
    <s v="SNS-EX520-248"/>
    <s v="UCEX"/>
    <n v="11"/>
    <n v="13.5"/>
    <n v="148.5"/>
    <s v="OB-PAF"/>
    <s v="UEW_WEST"/>
    <n v="2000"/>
    <s v="PIT UCEX"/>
    <n v="297000"/>
    <x v="0"/>
    <s v="7SNS-EX520-248SNSPIT UCEX1"/>
    <n v="0.25"/>
    <s v="7SNS-SN604PIT UCEX1"/>
    <n v="0.5"/>
    <n v="297000"/>
    <s v="7SNS-SN604SNSSNS-EX520-2481"/>
    <n v="1"/>
    <s v="Week II"/>
    <s v="UEW"/>
    <s v="SNS-EX520-248SNS"/>
    <x v="1"/>
    <x v="1"/>
    <x v="1"/>
    <x v="0"/>
  </r>
  <r>
    <x v="6"/>
    <x v="0"/>
    <s v="SNS-SN606"/>
    <s v="SNS-EX520-248"/>
    <s v="UCEX"/>
    <n v="22"/>
    <n v="13.5"/>
    <n v="297"/>
    <s v="OB-PAF"/>
    <s v="UEW_WEST"/>
    <n v="2000"/>
    <s v="PIT UCEX"/>
    <n v="594000"/>
    <x v="0"/>
    <s v="7SNS-EX520-248SNSPIT UCEX1"/>
    <n v="0.25"/>
    <s v="7SNS-SN606PIT UCEX1"/>
    <n v="1"/>
    <n v="594000"/>
    <s v="7SNS-SN606SNSSNS-EX520-2481"/>
    <n v="1"/>
    <s v="Week II"/>
    <s v="UEW"/>
    <s v="SNS-EX520-248SNS"/>
    <x v="1"/>
    <x v="1"/>
    <x v="1"/>
    <x v="0"/>
  </r>
  <r>
    <x v="6"/>
    <x v="0"/>
    <s v="SNS-SN569"/>
    <s v="SNS-EX520-248"/>
    <s v="UCEX"/>
    <n v="18"/>
    <n v="13.5"/>
    <n v="243"/>
    <s v="OB-PAF"/>
    <s v="UEW_WEST"/>
    <n v="2000"/>
    <s v="PIT UCEX"/>
    <n v="486000"/>
    <x v="0"/>
    <s v="7SNS-EX520-248SNSPIT UCEX1"/>
    <n v="0.25"/>
    <s v="7SNS-SN569PIT UCEX1"/>
    <n v="1"/>
    <n v="486000"/>
    <s v="7SNS-SN569SNSSNS-EX520-2481"/>
    <n v="1"/>
    <s v="Week II"/>
    <s v="UEW"/>
    <s v="SNS-EX520-248SNS"/>
    <x v="0"/>
    <x v="1"/>
    <x v="1"/>
    <x v="0"/>
  </r>
  <r>
    <x v="6"/>
    <x v="0"/>
    <s v="SNS-SN564"/>
    <s v="SNS-EX520-245"/>
    <s v="UCE_TJP"/>
    <n v="26"/>
    <n v="13.5"/>
    <n v="351"/>
    <s v="OB-PAF"/>
    <s v="M2W"/>
    <n v="2000"/>
    <s v="UCE_TJP"/>
    <n v="702000"/>
    <x v="0"/>
    <s v="7SNS-EX520-245SNSUCE_TJP1"/>
    <n v="0.25"/>
    <s v="7SNS-SN564UCE_TJP1"/>
    <n v="1"/>
    <n v="702000"/>
    <s v="7SNS-SN564SNSSNS-EX520-2451"/>
    <n v="1"/>
    <s v="Week II"/>
    <s v="M2W"/>
    <s v="SNS-EX520-245SNS"/>
    <x v="0"/>
    <x v="2"/>
    <x v="2"/>
    <x v="0"/>
  </r>
  <r>
    <x v="6"/>
    <x v="0"/>
    <s v="SNS-SN580"/>
    <s v="SNS-EX520-245"/>
    <s v="UCE_TJP"/>
    <n v="25"/>
    <n v="13.5"/>
    <n v="337.5"/>
    <s v="OB-PAF"/>
    <s v="M2W"/>
    <n v="2000"/>
    <s v="UCE_TJP"/>
    <n v="675000"/>
    <x v="0"/>
    <s v="7SNS-EX520-245SNSUCE_TJP1"/>
    <n v="0.25"/>
    <s v="7SNS-SN580UCE_TJP1"/>
    <n v="1"/>
    <n v="675000"/>
    <s v="7SNS-SN580SNSSNS-EX520-2451"/>
    <n v="1"/>
    <s v="Week II"/>
    <s v="M2W"/>
    <s v="SNS-EX520-245SNS"/>
    <x v="0"/>
    <x v="2"/>
    <x v="2"/>
    <x v="0"/>
  </r>
  <r>
    <x v="6"/>
    <x v="0"/>
    <s v="SNS-SN603"/>
    <s v="SNS-EX520-245"/>
    <s v="UCE_TJP"/>
    <n v="25"/>
    <n v="13.5"/>
    <n v="337.5"/>
    <s v="OB-PAF"/>
    <s v="M2W"/>
    <n v="2000"/>
    <s v="UCE_TJP"/>
    <n v="675000"/>
    <x v="0"/>
    <s v="7SNS-EX520-245SNSUCE_TJP1"/>
    <n v="0.25"/>
    <s v="7SNS-SN603UCE_TJP1"/>
    <n v="1"/>
    <n v="675000"/>
    <s v="7SNS-SN603SNSSNS-EX520-2451"/>
    <n v="1"/>
    <s v="Week II"/>
    <s v="M2W"/>
    <s v="SNS-EX520-245SNS"/>
    <x v="1"/>
    <x v="2"/>
    <x v="2"/>
    <x v="0"/>
  </r>
  <r>
    <x v="6"/>
    <x v="0"/>
    <s v="SNS-SN559"/>
    <s v="SNS-EX520-245"/>
    <s v="UCE_TJP"/>
    <n v="24"/>
    <n v="13.5"/>
    <n v="324"/>
    <s v="OB-PAF"/>
    <s v="M2W"/>
    <n v="2000"/>
    <s v="UCE_TJP"/>
    <n v="648000"/>
    <x v="0"/>
    <s v="7SNS-EX520-245SNSUCE_TJP1"/>
    <n v="0.25"/>
    <s v="7SNS-SN559UCE_TJP1"/>
    <n v="1"/>
    <n v="648000"/>
    <s v="7SNS-SN559SNSSNS-EX520-2451"/>
    <n v="1"/>
    <s v="Week II"/>
    <s v="M2W"/>
    <s v="SNS-EX520-245SNS"/>
    <x v="0"/>
    <x v="2"/>
    <x v="2"/>
    <x v="0"/>
  </r>
  <r>
    <x v="6"/>
    <x v="0"/>
    <s v="SNS-SN607"/>
    <s v="SNS-EX500-241"/>
    <s v="Channel_UCW"/>
    <n v="19"/>
    <n v="13.5"/>
    <n v="256.5"/>
    <s v="OB-PAF"/>
    <s v="UCW"/>
    <n v="2000"/>
    <s v="PIT UCW"/>
    <n v="513000"/>
    <x v="0"/>
    <s v="7SNS-EX500-241SNSPIT UCW1"/>
    <n v="0.16666666666666666"/>
    <s v="7SNS-SN607PIT UCW1"/>
    <n v="1"/>
    <n v="513000"/>
    <s v="7SNS-SN607SNSSNS-EX500-2411"/>
    <n v="1"/>
    <s v="Week II"/>
    <s v="UCW"/>
    <s v="SNS-EX500-241SNS"/>
    <x v="1"/>
    <x v="0"/>
    <x v="0"/>
    <x v="0"/>
  </r>
  <r>
    <x v="6"/>
    <x v="0"/>
    <s v="SNS-SN563"/>
    <s v="SNS-EX500-241"/>
    <s v="Channel_UCW"/>
    <n v="14"/>
    <n v="13.5"/>
    <n v="189"/>
    <s v="OB-PAF"/>
    <s v="UCW"/>
    <n v="2000"/>
    <s v="PIT UCW"/>
    <n v="378000"/>
    <x v="0"/>
    <s v="7SNS-EX500-241SNSPIT UCW1"/>
    <n v="0.16666666666666666"/>
    <s v="7SNS-SN563PIT UCW1"/>
    <n v="1"/>
    <n v="378000"/>
    <s v="7SNS-SN563SNSSNS-EX500-2411"/>
    <n v="1"/>
    <s v="Week II"/>
    <s v="UCW"/>
    <s v="SNS-EX500-241SNS"/>
    <x v="0"/>
    <x v="0"/>
    <x v="0"/>
    <x v="0"/>
  </r>
  <r>
    <x v="6"/>
    <x v="0"/>
    <s v="SNS-SN573"/>
    <s v="SNS-EX500-241"/>
    <s v="Channel_UCW"/>
    <n v="25"/>
    <n v="13.5"/>
    <n v="337.5"/>
    <s v="OB-PAF"/>
    <s v="UCW"/>
    <n v="2000"/>
    <s v="PIT UCW"/>
    <n v="675000"/>
    <x v="0"/>
    <s v="7SNS-EX500-241SNSPIT UCW1"/>
    <n v="0.16666666666666666"/>
    <s v="7SNS-SN573PIT UCW1"/>
    <n v="1"/>
    <n v="675000"/>
    <s v="7SNS-SN573SNSSNS-EX500-2411"/>
    <n v="1"/>
    <s v="Week II"/>
    <s v="UCW"/>
    <s v="SNS-EX500-241SNS"/>
    <x v="0"/>
    <x v="0"/>
    <x v="0"/>
    <x v="0"/>
  </r>
  <r>
    <x v="6"/>
    <x v="0"/>
    <s v="SNS-SN565"/>
    <s v="SNS-EX500-241"/>
    <s v="Channel_UCW"/>
    <n v="11"/>
    <n v="13.5"/>
    <n v="148.5"/>
    <s v="OB-PAF"/>
    <s v="UCW"/>
    <n v="2000"/>
    <s v="PIT UCW"/>
    <n v="297000"/>
    <x v="0"/>
    <s v="7SNS-EX500-241SNSPIT UCW1"/>
    <n v="0.16666666666666666"/>
    <s v="7SNS-SN565PIT UCW1"/>
    <n v="1"/>
    <n v="297000"/>
    <s v="7SNS-SN565SNSSNS-EX500-2411"/>
    <n v="1"/>
    <s v="Week II"/>
    <s v="UCW"/>
    <s v="SNS-EX500-241SNS"/>
    <x v="0"/>
    <x v="0"/>
    <x v="0"/>
    <x v="0"/>
  </r>
  <r>
    <x v="6"/>
    <x v="0"/>
    <s v="SNS-SN560"/>
    <s v="SNS-EX500-241"/>
    <s v="Channel_UCW"/>
    <n v="10"/>
    <n v="13.5"/>
    <n v="135"/>
    <s v="OB-PAF"/>
    <s v="UCW"/>
    <n v="2000"/>
    <s v="PIT UCW"/>
    <n v="270000"/>
    <x v="0"/>
    <s v="7SNS-EX500-241SNSPIT UCW1"/>
    <n v="0.16666666666666666"/>
    <s v="7SNS-SN560PIT UCW1"/>
    <n v="1"/>
    <n v="270000"/>
    <s v="7SNS-SN560SNSSNS-EX500-2411"/>
    <n v="1"/>
    <s v="Week II"/>
    <s v="UCW"/>
    <s v="SNS-EX500-241SNS"/>
    <x v="0"/>
    <x v="0"/>
    <x v="0"/>
    <x v="0"/>
  </r>
  <r>
    <x v="6"/>
    <x v="0"/>
    <s v="SNS-SN566"/>
    <s v="SNS-EX500-241"/>
    <s v="Channel_UCW"/>
    <n v="10"/>
    <n v="13.5"/>
    <n v="135"/>
    <s v="OB-PAF"/>
    <s v="UCW"/>
    <n v="2000"/>
    <s v="PIT UCW"/>
    <n v="270000"/>
    <x v="0"/>
    <s v="7SNS-EX500-241SNSPIT UCW1"/>
    <n v="0.16666666666666666"/>
    <s v="7SNS-SN566PIT UCW1"/>
    <n v="1"/>
    <n v="270000"/>
    <s v="7SNS-SN566SNSSNS-EX500-2411"/>
    <n v="1"/>
    <s v="Week II"/>
    <s v="UCW"/>
    <s v="SNS-EX500-241SNS"/>
    <x v="0"/>
    <x v="0"/>
    <x v="0"/>
    <x v="0"/>
  </r>
  <r>
    <x v="7"/>
    <x v="0"/>
    <s v="SNS-SN568"/>
    <s v="SNS-EX520-248"/>
    <s v="UCEX"/>
    <n v="3"/>
    <n v="13.5"/>
    <n v="40.5"/>
    <s v="OB-PAF"/>
    <s v="UEW_WEST"/>
    <n v="2000"/>
    <s v="PIT UCEX"/>
    <n v="81000"/>
    <x v="0"/>
    <s v="8SNS-EX520-248SNSPIT UCEX1"/>
    <n v="0.25"/>
    <s v="8SNS-SN568PIT UCEX1"/>
    <n v="1"/>
    <n v="81000"/>
    <s v="8SNS-SN568SNSSNS-EX520-2481"/>
    <n v="1"/>
    <s v="Week II"/>
    <s v="UEW"/>
    <s v="SNS-EX520-248SNS"/>
    <x v="0"/>
    <x v="1"/>
    <x v="1"/>
    <x v="0"/>
  </r>
  <r>
    <x v="7"/>
    <x v="0"/>
    <s v="SNS-SN569"/>
    <s v="SNS-EX520-248"/>
    <s v="UCEX"/>
    <n v="2"/>
    <n v="13.5"/>
    <n v="27"/>
    <s v="OB-PAF"/>
    <s v="UEW_WEST"/>
    <n v="2000"/>
    <s v="PIT UCEX"/>
    <n v="54000"/>
    <x v="0"/>
    <s v="8SNS-EX520-248SNSPIT UCEX1"/>
    <n v="0.25"/>
    <s v="8SNS-SN569PIT UCEX1"/>
    <n v="1"/>
    <n v="54000"/>
    <s v="8SNS-SN569SNSSNS-EX520-2481"/>
    <n v="1"/>
    <s v="Week II"/>
    <s v="UEW"/>
    <s v="SNS-EX520-248SNS"/>
    <x v="0"/>
    <x v="1"/>
    <x v="1"/>
    <x v="0"/>
  </r>
  <r>
    <x v="7"/>
    <x v="0"/>
    <s v="SNS-SN609"/>
    <s v="SNS-EX520-248"/>
    <s v="UCEX"/>
    <n v="3"/>
    <n v="13.5"/>
    <n v="40.5"/>
    <s v="OB-PAF"/>
    <s v="UEW_WEST"/>
    <n v="2000"/>
    <s v="PIT UCEX"/>
    <n v="81000"/>
    <x v="0"/>
    <s v="8SNS-EX520-248SNSPIT UCEX1"/>
    <n v="0.25"/>
    <s v="8SNS-SN609PIT UCEX1"/>
    <n v="1"/>
    <n v="81000"/>
    <s v="8SNS-SN609SNSSNS-EX520-2481"/>
    <n v="1"/>
    <s v="Week II"/>
    <s v="UEW"/>
    <s v="SNS-EX520-248SNS"/>
    <x v="0"/>
    <x v="1"/>
    <x v="1"/>
    <x v="0"/>
  </r>
  <r>
    <x v="7"/>
    <x v="0"/>
    <s v="SNS-SN606"/>
    <s v="SNS-EX520-248"/>
    <s v="UCEX"/>
    <n v="2"/>
    <n v="13.5"/>
    <n v="27"/>
    <s v="OB-PAF"/>
    <s v="UEW_WEST"/>
    <n v="2000"/>
    <s v="PIT UCEX"/>
    <n v="54000"/>
    <x v="0"/>
    <s v="8SNS-EX520-248SNSPIT UCEX1"/>
    <n v="0.25"/>
    <s v="8SNS-SN606PIT UCEX1"/>
    <n v="1"/>
    <n v="54000"/>
    <s v="8SNS-SN606SNSSNS-EX520-2481"/>
    <n v="1"/>
    <s v="Week II"/>
    <s v="UEW"/>
    <s v="SNS-EX520-248SNS"/>
    <x v="1"/>
    <x v="1"/>
    <x v="1"/>
    <x v="0"/>
  </r>
  <r>
    <x v="7"/>
    <x v="0"/>
    <s v="SNS-SN564"/>
    <s v="SNS-EX520-245"/>
    <s v="UCE_TJP"/>
    <n v="4"/>
    <n v="13.5"/>
    <n v="54"/>
    <s v="OB-PAF"/>
    <s v="M2W"/>
    <n v="2000"/>
    <s v="UCE_TJP"/>
    <n v="108000"/>
    <x v="0"/>
    <s v="8SNS-EX520-245SNSUCE_TJP1"/>
    <n v="0.25"/>
    <s v="8SNS-SN564UCE_TJP1"/>
    <n v="1"/>
    <n v="108000"/>
    <s v="8SNS-SN564SNSSNS-EX520-2451"/>
    <n v="1"/>
    <s v="Week II"/>
    <s v="M2W"/>
    <s v="SNS-EX520-245SNS"/>
    <x v="0"/>
    <x v="2"/>
    <x v="2"/>
    <x v="0"/>
  </r>
  <r>
    <x v="7"/>
    <x v="0"/>
    <s v="SNS-SN580"/>
    <s v="SNS-EX520-245"/>
    <s v="UCE_TJP"/>
    <n v="4"/>
    <n v="13.5"/>
    <n v="54"/>
    <s v="OB-PAF"/>
    <s v="M2W"/>
    <n v="2000"/>
    <s v="UCE_TJP"/>
    <n v="108000"/>
    <x v="0"/>
    <s v="8SNS-EX520-245SNSUCE_TJP1"/>
    <n v="0.25"/>
    <s v="8SNS-SN580UCE_TJP1"/>
    <n v="1"/>
    <n v="108000"/>
    <s v="8SNS-SN580SNSSNS-EX520-2451"/>
    <n v="1"/>
    <s v="Week II"/>
    <s v="M2W"/>
    <s v="SNS-EX520-245SNS"/>
    <x v="0"/>
    <x v="2"/>
    <x v="2"/>
    <x v="0"/>
  </r>
  <r>
    <x v="7"/>
    <x v="0"/>
    <s v="SNS-SN603"/>
    <s v="SNS-EX520-245"/>
    <s v="UCE_TJP"/>
    <n v="4"/>
    <n v="13.5"/>
    <n v="54"/>
    <s v="OB-PAF"/>
    <s v="M2W"/>
    <n v="2000"/>
    <s v="UCE_TJP"/>
    <n v="108000"/>
    <x v="0"/>
    <s v="8SNS-EX520-245SNSUCE_TJP1"/>
    <n v="0.25"/>
    <s v="8SNS-SN603UCE_TJP1"/>
    <n v="1"/>
    <n v="108000"/>
    <s v="8SNS-SN603SNSSNS-EX520-2451"/>
    <n v="1"/>
    <s v="Week II"/>
    <s v="M2W"/>
    <s v="SNS-EX520-245SNS"/>
    <x v="1"/>
    <x v="2"/>
    <x v="2"/>
    <x v="0"/>
  </r>
  <r>
    <x v="7"/>
    <x v="0"/>
    <s v="SNS-SN559"/>
    <s v="SNS-EX520-245"/>
    <s v="UCE_TJP"/>
    <n v="4"/>
    <n v="13.5"/>
    <n v="54"/>
    <s v="OB-PAF"/>
    <s v="M2W"/>
    <n v="2000"/>
    <s v="UCE_TJP"/>
    <n v="108000"/>
    <x v="0"/>
    <s v="8SNS-EX520-245SNSUCE_TJP1"/>
    <n v="0.25"/>
    <s v="8SNS-SN559UCE_TJP1"/>
    <n v="1"/>
    <n v="108000"/>
    <s v="8SNS-SN559SNSSNS-EX520-2451"/>
    <n v="1"/>
    <s v="Week II"/>
    <s v="M2W"/>
    <s v="SNS-EX520-245SNS"/>
    <x v="0"/>
    <x v="2"/>
    <x v="2"/>
    <x v="0"/>
  </r>
  <r>
    <x v="8"/>
    <x v="0"/>
    <s v="SNS-SN609"/>
    <s v="SNS-EX520-240"/>
    <s v="UCEX"/>
    <n v="14"/>
    <n v="13.5"/>
    <n v="189"/>
    <s v="OB-PAF"/>
    <s v="UEW_WEST"/>
    <n v="2000"/>
    <s v="PIT UCEX"/>
    <n v="378000"/>
    <x v="0"/>
    <s v="10SNS-EX520-240SNSPIT UCEX1"/>
    <n v="0.33333333333333331"/>
    <s v="10SNS-SN609PIT UCEX1"/>
    <n v="0.5"/>
    <n v="378000"/>
    <s v="10SNS-SN609SNSSNS-EX520-2401"/>
    <n v="1"/>
    <s v="Week II"/>
    <s v="UEW"/>
    <s v="SNS-EX520-240SNS"/>
    <x v="0"/>
    <x v="1"/>
    <x v="1"/>
    <x v="0"/>
  </r>
  <r>
    <x v="8"/>
    <x v="0"/>
    <s v="SNS-SN579"/>
    <s v="SNS-EX520-240"/>
    <s v="UCEX"/>
    <n v="12"/>
    <n v="13.5"/>
    <n v="162"/>
    <s v="OB-PAF"/>
    <s v="UEW_WEST"/>
    <n v="2000"/>
    <s v="PIT UCEX"/>
    <n v="324000"/>
    <x v="0"/>
    <s v="10SNS-EX520-240SNSPIT UCEX1"/>
    <n v="0.33333333333333331"/>
    <s v="10SNS-SN579PIT UCEX1"/>
    <n v="0.5"/>
    <n v="324000"/>
    <s v="10SNS-SN579SNSSNS-EX520-2401"/>
    <n v="1"/>
    <s v="Week II"/>
    <s v="UEW"/>
    <s v="SNS-EX520-240SNS"/>
    <x v="0"/>
    <x v="1"/>
    <x v="1"/>
    <x v="0"/>
  </r>
  <r>
    <x v="8"/>
    <x v="0"/>
    <s v="SNS-SN604"/>
    <s v="SNS-EX520-240"/>
    <s v="UCEX"/>
    <n v="10"/>
    <n v="13.5"/>
    <n v="135"/>
    <s v="OB-PAF"/>
    <s v="UEW_WEST"/>
    <n v="2000"/>
    <s v="PIT UCEX"/>
    <n v="270000"/>
    <x v="0"/>
    <s v="10SNS-EX520-240SNSPIT UCEX1"/>
    <n v="0.33333333333333331"/>
    <s v="10SNS-SN604PIT UCEX1"/>
    <n v="1"/>
    <n v="270000"/>
    <s v="10SNS-SN604SNSSNS-EX520-2401"/>
    <n v="1"/>
    <s v="Week II"/>
    <s v="UEW"/>
    <s v="SNS-EX520-240SNS"/>
    <x v="1"/>
    <x v="1"/>
    <x v="1"/>
    <x v="0"/>
  </r>
  <r>
    <x v="8"/>
    <x v="0"/>
    <s v="SNS-SN582"/>
    <s v="SNS-EX520-239"/>
    <s v="UCEX"/>
    <n v="17"/>
    <n v="13.5"/>
    <n v="229.5"/>
    <s v="OB-PAF"/>
    <s v="UEW_WEST"/>
    <n v="2000"/>
    <s v="PIT UCEX"/>
    <n v="459000"/>
    <x v="0"/>
    <s v="10SNS-EX520-239SNSPIT UCEX1"/>
    <n v="0.25"/>
    <s v="10SNS-SN582PIT UCEX1"/>
    <n v="1"/>
    <n v="459000"/>
    <s v="10SNS-SN582SNSSNS-EX520-2391"/>
    <n v="1"/>
    <s v="Week II"/>
    <s v="UEW"/>
    <s v="SNS-EX520-239SNS"/>
    <x v="0"/>
    <x v="1"/>
    <x v="1"/>
    <x v="0"/>
  </r>
  <r>
    <x v="8"/>
    <x v="0"/>
    <s v="SNS-SN557"/>
    <s v="SNS-EX520-239"/>
    <s v="UCEX"/>
    <n v="19"/>
    <n v="13.5"/>
    <n v="256.5"/>
    <s v="OB-PAF"/>
    <s v="UEW_WEST"/>
    <n v="2000"/>
    <s v="PIT UCEX"/>
    <n v="513000"/>
    <x v="0"/>
    <s v="10SNS-EX520-239SNSPIT UCEX1"/>
    <n v="0.25"/>
    <s v="10SNS-SN557PIT UCEX1"/>
    <n v="1"/>
    <n v="513000"/>
    <s v="10SNS-SN557SNSSNS-EX520-2391"/>
    <n v="1"/>
    <s v="Week II"/>
    <s v="UEW"/>
    <s v="SNS-EX520-239SNS"/>
    <x v="0"/>
    <x v="1"/>
    <x v="1"/>
    <x v="0"/>
  </r>
  <r>
    <x v="8"/>
    <x v="0"/>
    <s v="SNS-SN566"/>
    <s v="SNS-EX520-239"/>
    <s v="UCEX"/>
    <n v="18"/>
    <n v="13.5"/>
    <n v="243"/>
    <s v="OB-PAF"/>
    <s v="UEW_WEST"/>
    <n v="2000"/>
    <s v="PIT UCEX"/>
    <n v="486000"/>
    <x v="0"/>
    <s v="10SNS-EX520-239SNSPIT UCEX1"/>
    <n v="0.25"/>
    <s v="10SNS-SN566PIT UCEX1"/>
    <n v="1"/>
    <n v="486000"/>
    <s v="10SNS-SN566SNSSNS-EX520-2391"/>
    <n v="1"/>
    <s v="Week II"/>
    <s v="UEW"/>
    <s v="SNS-EX520-239SNS"/>
    <x v="0"/>
    <x v="1"/>
    <x v="1"/>
    <x v="0"/>
  </r>
  <r>
    <x v="8"/>
    <x v="0"/>
    <s v="SNS-SN579"/>
    <s v="SNS-EX520-239"/>
    <s v="UCEX"/>
    <n v="5"/>
    <n v="13.5"/>
    <n v="67.5"/>
    <s v="OB-PAF"/>
    <s v="UEW_WEST"/>
    <n v="2000"/>
    <s v="PIT UCEX"/>
    <n v="135000"/>
    <x v="0"/>
    <s v="10SNS-EX520-239SNSPIT UCEX1"/>
    <n v="0.25"/>
    <s v="10SNS-SN579PIT UCEX1"/>
    <n v="0.5"/>
    <n v="135000"/>
    <s v="10SNS-SN579SNSSNS-EX520-2391"/>
    <n v="1"/>
    <s v="Week II"/>
    <s v="UEW"/>
    <s v="SNS-EX520-239SNS"/>
    <x v="0"/>
    <x v="1"/>
    <x v="1"/>
    <x v="0"/>
  </r>
  <r>
    <x v="8"/>
    <x v="0"/>
    <s v="SNS-SN568"/>
    <s v="SNS-EX520-248"/>
    <s v="UCEX"/>
    <n v="18"/>
    <n v="13.5"/>
    <n v="243"/>
    <s v="OB-PAF"/>
    <s v="UEW_WEST"/>
    <n v="2000"/>
    <s v="PIT UCEX"/>
    <n v="486000"/>
    <x v="0"/>
    <s v="10SNS-EX520-248SNSPIT UCEX1"/>
    <n v="0.25"/>
    <s v="10SNS-SN568PIT UCEX1"/>
    <n v="1"/>
    <n v="486000"/>
    <s v="10SNS-SN568SNSSNS-EX520-2481"/>
    <n v="1"/>
    <s v="Week II"/>
    <s v="UEW"/>
    <s v="SNS-EX520-248SNS"/>
    <x v="0"/>
    <x v="1"/>
    <x v="1"/>
    <x v="0"/>
  </r>
  <r>
    <x v="8"/>
    <x v="0"/>
    <s v="SNS-SN569"/>
    <s v="SNS-EX520-248"/>
    <s v="UCEX"/>
    <n v="14"/>
    <n v="13.5"/>
    <n v="189"/>
    <s v="OB-PAF"/>
    <s v="UEW_WEST"/>
    <n v="2000"/>
    <s v="PIT UCEX"/>
    <n v="378000"/>
    <x v="0"/>
    <s v="10SNS-EX520-248SNSPIT UCEX1"/>
    <n v="0.25"/>
    <s v="10SNS-SN569PIT UCEX1"/>
    <n v="1"/>
    <n v="378000"/>
    <s v="10SNS-SN569SNSSNS-EX520-2481"/>
    <n v="1"/>
    <s v="Week II"/>
    <s v="UEW"/>
    <s v="SNS-EX520-248SNS"/>
    <x v="0"/>
    <x v="1"/>
    <x v="1"/>
    <x v="0"/>
  </r>
  <r>
    <x v="8"/>
    <x v="0"/>
    <s v="SNS-SN606"/>
    <s v="SNS-EX520-248"/>
    <s v="UCEX"/>
    <n v="15"/>
    <n v="13.5"/>
    <n v="202.5"/>
    <s v="OB-PAF"/>
    <s v="UEW_WEST"/>
    <n v="2000"/>
    <s v="PIT UCEX"/>
    <n v="405000"/>
    <x v="0"/>
    <s v="10SNS-EX520-248SNSPIT UCEX1"/>
    <n v="0.25"/>
    <s v="10SNS-SN606PIT UCEX1"/>
    <n v="1"/>
    <n v="405000"/>
    <s v="10SNS-SN606SNSSNS-EX520-2481"/>
    <n v="1"/>
    <s v="Week II"/>
    <s v="UEW"/>
    <s v="SNS-EX520-248SNS"/>
    <x v="1"/>
    <x v="1"/>
    <x v="1"/>
    <x v="0"/>
  </r>
  <r>
    <x v="8"/>
    <x v="0"/>
    <s v="SNS-SN609"/>
    <s v="SNS-EX520-248"/>
    <s v="UCEX"/>
    <n v="4"/>
    <n v="13.5"/>
    <n v="54"/>
    <s v="OB-PAF"/>
    <s v="UEW_WEST"/>
    <n v="2000"/>
    <s v="PIT UCEX"/>
    <n v="108000"/>
    <x v="0"/>
    <s v="10SNS-EX520-248SNSPIT UCEX1"/>
    <n v="0.25"/>
    <s v="10SNS-SN609PIT UCEX1"/>
    <n v="0.5"/>
    <n v="108000"/>
    <s v="10SNS-SN609SNSSNS-EX520-2481"/>
    <n v="1"/>
    <s v="Week II"/>
    <s v="UEW"/>
    <s v="SNS-EX520-248SNS"/>
    <x v="0"/>
    <x v="1"/>
    <x v="1"/>
    <x v="0"/>
  </r>
  <r>
    <x v="8"/>
    <x v="0"/>
    <s v="SNS-SN563"/>
    <s v="SNS-EX500-241"/>
    <s v="Channel_UCW"/>
    <n v="12"/>
    <n v="13.5"/>
    <n v="162"/>
    <s v="OB-PAF"/>
    <s v="UCW"/>
    <n v="2000"/>
    <s v="PIT UCW"/>
    <n v="324000"/>
    <x v="0"/>
    <s v="10SNS-EX500-241SNSPIT UCW1"/>
    <n v="0.25"/>
    <s v="10SNS-SN563PIT UCW1"/>
    <n v="1"/>
    <n v="324000"/>
    <s v="10SNS-SN563SNSSNS-EX500-2411"/>
    <n v="1"/>
    <s v="Week II"/>
    <s v="UCW"/>
    <s v="SNS-EX500-241SNS"/>
    <x v="0"/>
    <x v="0"/>
    <x v="0"/>
    <x v="0"/>
  </r>
  <r>
    <x v="8"/>
    <x v="0"/>
    <s v="SNS-SN560"/>
    <s v="SNS-EX500-241"/>
    <s v="Channel_UCW"/>
    <n v="11"/>
    <n v="13.5"/>
    <n v="148.5"/>
    <s v="OB-PAF"/>
    <s v="UCW"/>
    <n v="2000"/>
    <s v="PIT UCW"/>
    <n v="297000"/>
    <x v="0"/>
    <s v="10SNS-EX500-241SNSPIT UCW1"/>
    <n v="0.25"/>
    <s v="10SNS-SN560PIT UCW1"/>
    <n v="1"/>
    <n v="297000"/>
    <s v="10SNS-SN560SNSSNS-EX500-2411"/>
    <n v="1"/>
    <s v="Week II"/>
    <s v="UCW"/>
    <s v="SNS-EX500-241SNS"/>
    <x v="0"/>
    <x v="0"/>
    <x v="0"/>
    <x v="0"/>
  </r>
  <r>
    <x v="8"/>
    <x v="0"/>
    <s v="SNS-SN573"/>
    <s v="SNS-EX500-241"/>
    <s v="Channel_UCW"/>
    <n v="12"/>
    <n v="13.5"/>
    <n v="162"/>
    <s v="OB-PAF"/>
    <s v="UCW"/>
    <n v="2000"/>
    <s v="PIT UCW"/>
    <n v="324000"/>
    <x v="0"/>
    <s v="10SNS-EX500-241SNSPIT UCW1"/>
    <n v="0.25"/>
    <s v="10SNS-SN573PIT UCW1"/>
    <n v="1"/>
    <n v="324000"/>
    <s v="10SNS-SN573SNSSNS-EX500-2411"/>
    <n v="1"/>
    <s v="Week II"/>
    <s v="UCW"/>
    <s v="SNS-EX500-241SNS"/>
    <x v="0"/>
    <x v="0"/>
    <x v="0"/>
    <x v="0"/>
  </r>
  <r>
    <x v="8"/>
    <x v="0"/>
    <s v="SNS-SN564"/>
    <s v="SNS-EX500-241"/>
    <s v="Channel_UCW"/>
    <n v="3"/>
    <n v="13.5"/>
    <n v="40.5"/>
    <s v="OB-PAF"/>
    <s v="UCW"/>
    <n v="2000"/>
    <s v="PIT UCW"/>
    <n v="81000"/>
    <x v="0"/>
    <s v="10SNS-EX500-241SNSPIT UCW1"/>
    <n v="0.25"/>
    <s v="10SNS-SN564PIT UCW1"/>
    <n v="1"/>
    <n v="81000"/>
    <s v="10SNS-SN564SNSSNS-EX500-2411"/>
    <n v="1"/>
    <s v="Week II"/>
    <s v="UCW"/>
    <s v="SNS-EX500-241SNS"/>
    <x v="0"/>
    <x v="0"/>
    <x v="0"/>
    <x v="0"/>
  </r>
  <r>
    <x v="8"/>
    <x v="0"/>
    <s v="SNS-SN608"/>
    <s v="SNS-EX520-245"/>
    <s v="UCE_TJP"/>
    <n v="12"/>
    <n v="13.5"/>
    <n v="162"/>
    <s v="OB-PAF"/>
    <s v="M2W"/>
    <n v="2000"/>
    <s v="UCE_TJP"/>
    <n v="324000"/>
    <x v="0"/>
    <s v="10SNS-EX520-245SNSUCE_TJP1"/>
    <n v="0.25"/>
    <s v="10SNS-SN608UCE_TJP1"/>
    <n v="1"/>
    <n v="324000"/>
    <s v="10SNS-SN608SNSSNS-EX520-2451"/>
    <n v="1"/>
    <s v="Week II"/>
    <s v="M2W"/>
    <s v="SNS-EX520-245SNS"/>
    <x v="0"/>
    <x v="2"/>
    <x v="2"/>
    <x v="0"/>
  </r>
  <r>
    <x v="8"/>
    <x v="0"/>
    <s v="SNS-SN603"/>
    <s v="SNS-EX520-245"/>
    <s v="UCE_TJP"/>
    <n v="12"/>
    <n v="13.5"/>
    <n v="162"/>
    <s v="OB-PAF"/>
    <s v="M2W"/>
    <n v="2000"/>
    <s v="UCE_TJP"/>
    <n v="324000"/>
    <x v="0"/>
    <s v="10SNS-EX520-245SNSUCE_TJP1"/>
    <n v="0.25"/>
    <s v="10SNS-SN603UCE_TJP1"/>
    <n v="1"/>
    <n v="324000"/>
    <s v="10SNS-SN603SNSSNS-EX520-2451"/>
    <n v="1"/>
    <s v="Week II"/>
    <s v="M2W"/>
    <s v="SNS-EX520-245SNS"/>
    <x v="1"/>
    <x v="2"/>
    <x v="2"/>
    <x v="0"/>
  </r>
  <r>
    <x v="8"/>
    <x v="0"/>
    <s v="SNS-SN580"/>
    <s v="SNS-EX520-245"/>
    <s v="UCE_TJP"/>
    <n v="10"/>
    <n v="13.5"/>
    <n v="135"/>
    <s v="OB-PAF"/>
    <s v="M2W"/>
    <n v="2000"/>
    <s v="UCE_TJP"/>
    <n v="270000"/>
    <x v="0"/>
    <s v="10SNS-EX520-245SNSUCE_TJP1"/>
    <n v="0.25"/>
    <s v="10SNS-SN580UCE_TJP1"/>
    <n v="1"/>
    <n v="270000"/>
    <s v="10SNS-SN580SNSSNS-EX520-2451"/>
    <n v="1"/>
    <s v="Week II"/>
    <s v="M2W"/>
    <s v="SNS-EX520-245SNS"/>
    <x v="0"/>
    <x v="2"/>
    <x v="2"/>
    <x v="0"/>
  </r>
  <r>
    <x v="8"/>
    <x v="0"/>
    <s v="SNS-SN559"/>
    <s v="SNS-EX520-245"/>
    <s v="UCE_TJP"/>
    <n v="11"/>
    <n v="13.5"/>
    <n v="148.5"/>
    <s v="OB-PAF"/>
    <s v="M2W"/>
    <n v="2000"/>
    <s v="UCE_TJP"/>
    <n v="297000"/>
    <x v="0"/>
    <s v="10SNS-EX520-245SNSUCE_TJP1"/>
    <n v="0.25"/>
    <s v="10SNS-SN559UCE_TJP1"/>
    <n v="1"/>
    <n v="297000"/>
    <s v="10SNS-SN559SNSSNS-EX520-2451"/>
    <n v="1"/>
    <s v="Week II"/>
    <s v="M2W"/>
    <s v="SNS-EX520-245SNS"/>
    <x v="0"/>
    <x v="2"/>
    <x v="2"/>
    <x v="0"/>
  </r>
  <r>
    <x v="9"/>
    <x v="0"/>
    <s v="SNS-SN580"/>
    <s v="SNS-EX500-241"/>
    <s v="Channel_UCW"/>
    <n v="6"/>
    <n v="13.5"/>
    <n v="81"/>
    <s v="OB-PAF"/>
    <s v="UCW"/>
    <n v="2000"/>
    <s v="PIT UCW"/>
    <n v="162000"/>
    <x v="0"/>
    <s v="11SNS-EX500-241SNSPIT UCW1"/>
    <n v="0.14285714285714285"/>
    <s v="11SNS-SN580PIT UCW1"/>
    <n v="1"/>
    <n v="162000"/>
    <s v="11SNS-SN580SNSSNS-EX500-2411"/>
    <n v="1"/>
    <s v="Week II"/>
    <s v="UCW"/>
    <s v="SNS-EX500-241SNS"/>
    <x v="0"/>
    <x v="0"/>
    <x v="0"/>
    <x v="0"/>
  </r>
  <r>
    <x v="9"/>
    <x v="0"/>
    <s v="SNS-SN579"/>
    <s v="SNS-EX500-241"/>
    <s v="Channel_UCW"/>
    <n v="10"/>
    <n v="13.5"/>
    <n v="135"/>
    <s v="OB-PAF"/>
    <s v="UCW"/>
    <n v="2000"/>
    <s v="PIT UCW"/>
    <n v="270000"/>
    <x v="0"/>
    <s v="11SNS-EX500-241SNSPIT UCW1"/>
    <n v="0.14285714285714285"/>
    <s v="11SNS-SN579PIT UCW1"/>
    <n v="1"/>
    <n v="270000"/>
    <s v="11SNS-SN579SNSSNS-EX500-2411"/>
    <n v="1"/>
    <s v="Week II"/>
    <s v="UCW"/>
    <s v="SNS-EX500-241SNS"/>
    <x v="0"/>
    <x v="0"/>
    <x v="0"/>
    <x v="0"/>
  </r>
  <r>
    <x v="9"/>
    <x v="0"/>
    <s v="SNS-SN573"/>
    <s v="SNS-EX500-241"/>
    <s v="Channel_UCW"/>
    <n v="20"/>
    <n v="13.5"/>
    <n v="270"/>
    <s v="OB-PAF"/>
    <s v="UCW"/>
    <n v="2000"/>
    <s v="PIT UCW"/>
    <n v="540000"/>
    <x v="0"/>
    <s v="11SNS-EX500-241SNSPIT UCW1"/>
    <n v="0.14285714285714285"/>
    <s v="11SNS-SN573PIT UCW1"/>
    <n v="1"/>
    <n v="540000"/>
    <s v="11SNS-SN573SNSSNS-EX500-2411"/>
    <n v="1"/>
    <s v="Week II"/>
    <s v="UCW"/>
    <s v="SNS-EX500-241SNS"/>
    <x v="0"/>
    <x v="0"/>
    <x v="0"/>
    <x v="0"/>
  </r>
  <r>
    <x v="9"/>
    <x v="0"/>
    <s v="SNS-SN563"/>
    <s v="SNS-EX500-241"/>
    <s v="Channel_UCW"/>
    <n v="14"/>
    <n v="13.5"/>
    <n v="189"/>
    <s v="OB-PAF"/>
    <s v="UCW"/>
    <n v="2000"/>
    <s v="PIT UCW"/>
    <n v="378000"/>
    <x v="0"/>
    <s v="11SNS-EX500-241SNSPIT UCW1"/>
    <n v="0.14285714285714285"/>
    <s v="11SNS-SN563PIT UCW1"/>
    <n v="1"/>
    <n v="378000"/>
    <s v="11SNS-SN563SNSSNS-EX500-2411"/>
    <n v="1"/>
    <s v="Week II"/>
    <s v="UCW"/>
    <s v="SNS-EX500-241SNS"/>
    <x v="0"/>
    <x v="0"/>
    <x v="0"/>
    <x v="0"/>
  </r>
  <r>
    <x v="9"/>
    <x v="0"/>
    <s v="SNS-SN560"/>
    <s v="SNS-EX500-241"/>
    <s v="Channel_UCW"/>
    <n v="20"/>
    <n v="13.5"/>
    <n v="270"/>
    <s v="OB-PAF"/>
    <s v="UCW"/>
    <n v="2000"/>
    <s v="PIT UCW"/>
    <n v="540000"/>
    <x v="0"/>
    <s v="11SNS-EX500-241SNSPIT UCW1"/>
    <n v="0.14285714285714285"/>
    <s v="11SNS-SN560PIT UCW1"/>
    <n v="1"/>
    <n v="540000"/>
    <s v="11SNS-SN560SNSSNS-EX500-2411"/>
    <n v="1"/>
    <s v="Week II"/>
    <s v="UCW"/>
    <s v="SNS-EX500-241SNS"/>
    <x v="0"/>
    <x v="0"/>
    <x v="0"/>
    <x v="0"/>
  </r>
  <r>
    <x v="9"/>
    <x v="0"/>
    <s v="SNS-SN564"/>
    <s v="SNS-EX500-241"/>
    <s v="Channel_UCW"/>
    <n v="6"/>
    <n v="13.5"/>
    <n v="81"/>
    <s v="OB-PAF"/>
    <s v="UCW"/>
    <n v="2000"/>
    <s v="PIT UCW"/>
    <n v="162000"/>
    <x v="0"/>
    <s v="11SNS-EX500-241SNSPIT UCW1"/>
    <n v="0.14285714285714285"/>
    <s v="11SNS-SN564PIT UCW1"/>
    <n v="1"/>
    <n v="162000"/>
    <s v="11SNS-SN564SNSSNS-EX500-2411"/>
    <n v="1"/>
    <s v="Week II"/>
    <s v="UCW"/>
    <s v="SNS-EX500-241SNS"/>
    <x v="0"/>
    <x v="0"/>
    <x v="0"/>
    <x v="0"/>
  </r>
  <r>
    <x v="9"/>
    <x v="0"/>
    <s v="SNS-SN562"/>
    <s v="SNS-EX500-241"/>
    <s v="Channel_UCW"/>
    <n v="16"/>
    <n v="13.5"/>
    <n v="216"/>
    <s v="OB-PAF"/>
    <s v="UCW"/>
    <n v="2000"/>
    <s v="PIT UCW"/>
    <n v="432000"/>
    <x v="0"/>
    <s v="11SNS-EX500-241SNSPIT UCW1"/>
    <n v="0.14285714285714285"/>
    <s v="11SNS-SN562PIT UCW1"/>
    <n v="1"/>
    <n v="432000"/>
    <s v="11SNS-SN562SNSSNS-EX500-2411"/>
    <n v="1"/>
    <s v="Week II"/>
    <s v="UCW"/>
    <s v="SNS-EX500-241SNS"/>
    <x v="0"/>
    <x v="0"/>
    <x v="0"/>
    <x v="0"/>
  </r>
  <r>
    <x v="9"/>
    <x v="0"/>
    <s v="SNS-SN564"/>
    <s v="SNS-EX520-245"/>
    <s v="UCE_TJP"/>
    <n v="5"/>
    <n v="13.5"/>
    <n v="67.5"/>
    <s v="OB-PAF"/>
    <s v="M2W"/>
    <n v="2000"/>
    <s v="UCE_TJP"/>
    <n v="135000"/>
    <x v="0"/>
    <s v="11SNS-EX520-245SNSUCE_TJP1"/>
    <n v="0.25"/>
    <s v="11SNS-SN564UCE_TJP1"/>
    <n v="1"/>
    <n v="135000"/>
    <s v="11SNS-SN564SNSSNS-EX520-2451"/>
    <n v="1"/>
    <s v="Week II"/>
    <s v="M2W"/>
    <s v="SNS-EX520-245SNS"/>
    <x v="0"/>
    <x v="2"/>
    <x v="2"/>
    <x v="0"/>
  </r>
  <r>
    <x v="9"/>
    <x v="0"/>
    <s v="SNS-SN608"/>
    <s v="SNS-EX520-245"/>
    <s v="UCE_TJP"/>
    <n v="9"/>
    <n v="13.5"/>
    <n v="121.5"/>
    <s v="OB-PAF"/>
    <s v="M2W"/>
    <n v="2000"/>
    <s v="UCE_TJP"/>
    <n v="243000"/>
    <x v="0"/>
    <s v="11SNS-EX520-245SNSUCE_TJP1"/>
    <n v="0.25"/>
    <s v="11SNS-SN608UCE_TJP1"/>
    <n v="1"/>
    <n v="243000"/>
    <s v="11SNS-SN608SNSSNS-EX520-2451"/>
    <n v="1"/>
    <s v="Week II"/>
    <s v="M2W"/>
    <s v="SNS-EX520-245SNS"/>
    <x v="0"/>
    <x v="2"/>
    <x v="2"/>
    <x v="0"/>
  </r>
  <r>
    <x v="9"/>
    <x v="0"/>
    <s v="SNS-SN603"/>
    <s v="SNS-EX520-245"/>
    <s v="UCE_TJP"/>
    <n v="9"/>
    <n v="13.5"/>
    <n v="121.5"/>
    <s v="OB-PAF"/>
    <s v="M2W"/>
    <n v="2000"/>
    <s v="UCE_TJP"/>
    <n v="243000"/>
    <x v="0"/>
    <s v="11SNS-EX520-245SNSUCE_TJP1"/>
    <n v="0.25"/>
    <s v="11SNS-SN603UCE_TJP1"/>
    <n v="1"/>
    <n v="243000"/>
    <s v="11SNS-SN603SNSSNS-EX520-2451"/>
    <n v="1"/>
    <s v="Week II"/>
    <s v="M2W"/>
    <s v="SNS-EX520-245SNS"/>
    <x v="1"/>
    <x v="2"/>
    <x v="2"/>
    <x v="0"/>
  </r>
  <r>
    <x v="9"/>
    <x v="0"/>
    <s v="SNS-SN559"/>
    <s v="SNS-EX520-245"/>
    <s v="UCE_TJP"/>
    <n v="9"/>
    <n v="13.5"/>
    <n v="121.5"/>
    <s v="OB-PAF"/>
    <s v="M2W"/>
    <n v="2000"/>
    <s v="UCE_TJP"/>
    <n v="243000"/>
    <x v="0"/>
    <s v="11SNS-EX520-245SNSUCE_TJP1"/>
    <n v="0.25"/>
    <s v="11SNS-SN559UCE_TJP1"/>
    <n v="1"/>
    <n v="243000"/>
    <s v="11SNS-SN559SNSSNS-EX520-2451"/>
    <n v="1"/>
    <s v="Week II"/>
    <s v="M2W"/>
    <s v="SNS-EX520-245SNS"/>
    <x v="0"/>
    <x v="2"/>
    <x v="2"/>
    <x v="0"/>
  </r>
  <r>
    <x v="9"/>
    <x v="0"/>
    <s v="SNS-SN603"/>
    <s v="SNS-EX520-240"/>
    <s v="UCEX"/>
    <n v="8"/>
    <n v="13.5"/>
    <n v="108"/>
    <s v="OB-PAF"/>
    <s v="UEW_WEST"/>
    <n v="2000"/>
    <s v="PIT UCEX"/>
    <n v="216000"/>
    <x v="0"/>
    <s v="11SNS-EX520-240SNSPIT UCEX1"/>
    <n v="0.16666666666666666"/>
    <s v="11SNS-SN603PIT UCEX1"/>
    <n v="1"/>
    <n v="216000"/>
    <s v="11SNS-SN603SNSSNS-EX520-2401"/>
    <n v="1"/>
    <s v="Week II"/>
    <s v="UEW"/>
    <s v="SNS-EX520-240SNS"/>
    <x v="1"/>
    <x v="1"/>
    <x v="1"/>
    <x v="0"/>
  </r>
  <r>
    <x v="9"/>
    <x v="0"/>
    <s v="SNS-SN559"/>
    <s v="SNS-EX520-240"/>
    <s v="UCEX"/>
    <n v="8"/>
    <n v="13.5"/>
    <n v="108"/>
    <s v="OB-PAF"/>
    <s v="UEW_WEST"/>
    <n v="2000"/>
    <s v="PIT UCEX"/>
    <n v="216000"/>
    <x v="0"/>
    <s v="11SNS-EX520-240SNSPIT UCEX1"/>
    <n v="0.16666666666666666"/>
    <s v="11SNS-SN559PIT UCEX1"/>
    <n v="1"/>
    <n v="216000"/>
    <s v="11SNS-SN559SNSSNS-EX520-2401"/>
    <n v="1"/>
    <s v="Week II"/>
    <s v="UEW"/>
    <s v="SNS-EX520-240SNS"/>
    <x v="0"/>
    <x v="1"/>
    <x v="1"/>
    <x v="0"/>
  </r>
  <r>
    <x v="9"/>
    <x v="0"/>
    <s v="SNS-SN604"/>
    <s v="SNS-EX520-240"/>
    <s v="UCEX"/>
    <n v="19"/>
    <n v="13.5"/>
    <n v="256.5"/>
    <s v="OB-PAF"/>
    <s v="UEW_WEST"/>
    <n v="2000"/>
    <s v="PIT UCEX"/>
    <n v="513000"/>
    <x v="0"/>
    <s v="11SNS-EX520-240SNSPIT UCEX1"/>
    <n v="0.16666666666666666"/>
    <s v="11SNS-SN604PIT UCEX1"/>
    <n v="0.5"/>
    <n v="513000"/>
    <s v="11SNS-SN604SNSSNS-EX520-2401"/>
    <n v="1"/>
    <s v="Week II"/>
    <s v="UEW"/>
    <s v="SNS-EX520-240SNS"/>
    <x v="1"/>
    <x v="1"/>
    <x v="1"/>
    <x v="0"/>
  </r>
  <r>
    <x v="9"/>
    <x v="0"/>
    <s v="SNS-SN608"/>
    <s v="SNS-EX520-240"/>
    <s v="UCEX"/>
    <n v="6"/>
    <n v="13.5"/>
    <n v="81"/>
    <s v="OB-PAF"/>
    <s v="UEW_WEST"/>
    <n v="2000"/>
    <s v="PIT UCEX"/>
    <n v="162000"/>
    <x v="0"/>
    <s v="11SNS-EX520-240SNSPIT UCEX1"/>
    <n v="0.16666666666666666"/>
    <s v="11SNS-SN608PIT UCEX1"/>
    <n v="1"/>
    <n v="162000"/>
    <s v="11SNS-SN608SNSSNS-EX520-2401"/>
    <n v="1"/>
    <s v="Week II"/>
    <s v="UEW"/>
    <s v="SNS-EX520-240SNS"/>
    <x v="0"/>
    <x v="1"/>
    <x v="1"/>
    <x v="0"/>
  </r>
  <r>
    <x v="9"/>
    <x v="0"/>
    <s v="SNS-SN609"/>
    <s v="SNS-EX520-240"/>
    <s v="UCEX"/>
    <n v="10"/>
    <n v="13.5"/>
    <n v="135"/>
    <s v="OB-PAF"/>
    <s v="UEW_WEST"/>
    <n v="2000"/>
    <s v="PIT UCEX"/>
    <n v="270000"/>
    <x v="0"/>
    <s v="11SNS-EX520-240SNSPIT UCEX1"/>
    <n v="0.16666666666666666"/>
    <s v="11SNS-SN609PIT UCEX1"/>
    <n v="0.5"/>
    <n v="270000"/>
    <s v="11SNS-SN609SNSSNS-EX520-2401"/>
    <n v="1"/>
    <s v="Week II"/>
    <s v="UEW"/>
    <s v="SNS-EX520-240SNS"/>
    <x v="0"/>
    <x v="1"/>
    <x v="1"/>
    <x v="0"/>
  </r>
  <r>
    <x v="9"/>
    <x v="0"/>
    <s v="SNS-SN605"/>
    <s v="SNS-EX520-240"/>
    <s v="UCEX"/>
    <n v="10"/>
    <n v="13.5"/>
    <n v="135"/>
    <s v="OB-PAF"/>
    <s v="UEW_WEST"/>
    <n v="2000"/>
    <s v="PIT UCEX"/>
    <n v="270000"/>
    <x v="0"/>
    <s v="11SNS-EX520-240SNSPIT UCEX1"/>
    <n v="0.16666666666666666"/>
    <s v="11SNS-SN605PIT UCEX1"/>
    <n v="0.5"/>
    <n v="270000"/>
    <s v="11SNS-SN605SNSSNS-EX520-2401"/>
    <n v="1"/>
    <s v="Week II"/>
    <s v="UEW"/>
    <s v="SNS-EX520-240SNS"/>
    <x v="1"/>
    <x v="1"/>
    <x v="1"/>
    <x v="0"/>
  </r>
  <r>
    <x v="9"/>
    <x v="0"/>
    <s v="SNS-SN606"/>
    <s v="SNS-EX520-248"/>
    <s v="UCEX"/>
    <n v="21"/>
    <n v="13.5"/>
    <n v="283.5"/>
    <s v="OB-PAF"/>
    <s v="UEW_WEST"/>
    <n v="2000"/>
    <s v="PIT UCEX"/>
    <n v="567000"/>
    <x v="0"/>
    <s v="11SNS-EX520-248SNSPIT UCEX1"/>
    <n v="0.2"/>
    <s v="11SNS-SN606PIT UCEX1"/>
    <n v="1"/>
    <n v="567000"/>
    <s v="11SNS-SN606SNSSNS-EX520-2481"/>
    <n v="1"/>
    <s v="Week II"/>
    <s v="UEW"/>
    <s v="SNS-EX520-248SNS"/>
    <x v="1"/>
    <x v="1"/>
    <x v="1"/>
    <x v="0"/>
  </r>
  <r>
    <x v="9"/>
    <x v="0"/>
    <s v="SNS-SN604"/>
    <s v="SNS-EX520-248"/>
    <s v="UCEX"/>
    <n v="2"/>
    <n v="13.5"/>
    <n v="27"/>
    <s v="OB-PAF"/>
    <s v="UEW_WEST"/>
    <n v="2000"/>
    <s v="PIT UCEX"/>
    <n v="54000"/>
    <x v="0"/>
    <s v="11SNS-EX520-248SNSPIT UCEX1"/>
    <n v="0.2"/>
    <s v="11SNS-SN604PIT UCEX1"/>
    <n v="0.5"/>
    <n v="54000"/>
    <s v="11SNS-SN604SNSSNS-EX520-2481"/>
    <n v="1"/>
    <s v="Week II"/>
    <s v="UEW"/>
    <s v="SNS-EX520-248SNS"/>
    <x v="1"/>
    <x v="1"/>
    <x v="1"/>
    <x v="0"/>
  </r>
  <r>
    <x v="9"/>
    <x v="0"/>
    <s v="SNS-SN582"/>
    <s v="SNS-EX520-248"/>
    <s v="UCEX"/>
    <n v="23"/>
    <n v="13.5"/>
    <n v="310.5"/>
    <s v="OB-PAF"/>
    <s v="UEW_WEST"/>
    <n v="2000"/>
    <s v="PIT UCEX"/>
    <n v="621000"/>
    <x v="0"/>
    <s v="11SNS-EX520-248SNSPIT UCEX1"/>
    <n v="0.2"/>
    <s v="11SNS-SN582PIT UCEX1"/>
    <n v="1"/>
    <n v="621000"/>
    <s v="11SNS-SN582SNSSNS-EX520-2481"/>
    <n v="1"/>
    <s v="Week II"/>
    <s v="UEW"/>
    <s v="SNS-EX520-248SNS"/>
    <x v="0"/>
    <x v="1"/>
    <x v="1"/>
    <x v="0"/>
  </r>
  <r>
    <x v="9"/>
    <x v="0"/>
    <s v="SNS-SN569"/>
    <s v="SNS-EX520-248"/>
    <s v="UCEX"/>
    <n v="22"/>
    <n v="13.5"/>
    <n v="297"/>
    <s v="OB-PAF"/>
    <s v="UEW_WEST"/>
    <n v="2000"/>
    <s v="PIT UCEX"/>
    <n v="594000"/>
    <x v="0"/>
    <s v="11SNS-EX520-248SNSPIT UCEX1"/>
    <n v="0.2"/>
    <s v="11SNS-SN569PIT UCEX1"/>
    <n v="1"/>
    <n v="594000"/>
    <s v="11SNS-SN569SNSSNS-EX520-2481"/>
    <n v="1"/>
    <s v="Week II"/>
    <s v="UEW"/>
    <s v="SNS-EX520-248SNS"/>
    <x v="0"/>
    <x v="1"/>
    <x v="1"/>
    <x v="0"/>
  </r>
  <r>
    <x v="9"/>
    <x v="0"/>
    <s v="SNS-SN605"/>
    <s v="SNS-EX520-248"/>
    <s v="UCEX"/>
    <n v="1"/>
    <n v="13.5"/>
    <n v="13.5"/>
    <s v="OB-PAF"/>
    <s v="UEW_WEST"/>
    <n v="2000"/>
    <s v="PIT UCEX"/>
    <n v="27000"/>
    <x v="0"/>
    <s v="11SNS-EX520-248SNSPIT UCEX1"/>
    <n v="0.2"/>
    <s v="11SNS-SN605PIT UCEX1"/>
    <n v="0.5"/>
    <n v="27000"/>
    <s v="11SNS-SN605SNSSNS-EX520-2481"/>
    <n v="1"/>
    <s v="Week II"/>
    <s v="UEW"/>
    <s v="SNS-EX520-248SNS"/>
    <x v="1"/>
    <x v="1"/>
    <x v="1"/>
    <x v="0"/>
  </r>
  <r>
    <x v="9"/>
    <x v="0"/>
    <s v="SNS-SN566"/>
    <s v="SNS-EX520-239"/>
    <s v="UCEX"/>
    <n v="23"/>
    <n v="13.5"/>
    <n v="310.5"/>
    <s v="OB-PAF"/>
    <s v="UEW_WEST"/>
    <n v="2000"/>
    <s v="PIT UCEX"/>
    <n v="621000"/>
    <x v="0"/>
    <s v="11SNS-EX520-239SNSPIT UCEX1"/>
    <n v="0.25"/>
    <s v="11SNS-SN566PIT UCEX1"/>
    <n v="1"/>
    <n v="621000"/>
    <s v="11SNS-SN566SNSSNS-EX520-2391"/>
    <n v="1"/>
    <s v="Week II"/>
    <s v="UEW"/>
    <s v="SNS-EX520-239SNS"/>
    <x v="0"/>
    <x v="1"/>
    <x v="1"/>
    <x v="0"/>
  </r>
  <r>
    <x v="9"/>
    <x v="0"/>
    <s v="SNS-SN568"/>
    <s v="SNS-EX520-239"/>
    <s v="UCEX"/>
    <n v="22"/>
    <n v="13.5"/>
    <n v="297"/>
    <s v="OB-PAF"/>
    <s v="UEW_WEST"/>
    <n v="2000"/>
    <s v="PIT UCEX"/>
    <n v="594000"/>
    <x v="0"/>
    <s v="11SNS-EX520-239SNSPIT UCEX1"/>
    <n v="0.25"/>
    <s v="11SNS-SN568PIT UCEX1"/>
    <n v="1"/>
    <n v="594000"/>
    <s v="11SNS-SN568SNSSNS-EX520-2391"/>
    <n v="1"/>
    <s v="Week II"/>
    <s v="UEW"/>
    <s v="SNS-EX520-239SNS"/>
    <x v="0"/>
    <x v="1"/>
    <x v="1"/>
    <x v="0"/>
  </r>
  <r>
    <x v="9"/>
    <x v="0"/>
    <s v="SNS-SN609"/>
    <s v="SNS-EX520-239"/>
    <s v="UCEX"/>
    <n v="9"/>
    <n v="13.5"/>
    <n v="121.5"/>
    <s v="OB-PAF"/>
    <s v="UEW_WEST"/>
    <n v="2000"/>
    <s v="PIT UCEX"/>
    <n v="243000"/>
    <x v="0"/>
    <s v="11SNS-EX520-239SNSPIT UCEX1"/>
    <n v="0.25"/>
    <s v="11SNS-SN609PIT UCEX1"/>
    <n v="0.5"/>
    <n v="243000"/>
    <s v="11SNS-SN609SNSSNS-EX520-2391"/>
    <n v="1"/>
    <s v="Week II"/>
    <s v="UEW"/>
    <s v="SNS-EX520-239SNS"/>
    <x v="0"/>
    <x v="1"/>
    <x v="1"/>
    <x v="0"/>
  </r>
  <r>
    <x v="9"/>
    <x v="0"/>
    <s v="SNS-SN557"/>
    <s v="SNS-EX520-239"/>
    <s v="UCEX"/>
    <n v="22"/>
    <n v="13.5"/>
    <n v="297"/>
    <s v="OB-PAF"/>
    <s v="UEW_WEST"/>
    <n v="2000"/>
    <s v="PIT UCEX"/>
    <n v="594000"/>
    <x v="0"/>
    <s v="11SNS-EX520-239SNSPIT UCEX1"/>
    <n v="0.25"/>
    <s v="11SNS-SN557PIT UCEX1"/>
    <n v="1"/>
    <n v="594000"/>
    <s v="11SNS-SN557SNSSNS-EX520-2391"/>
    <n v="1"/>
    <s v="Week II"/>
    <s v="UEW"/>
    <s v="SNS-EX520-239SNS"/>
    <x v="0"/>
    <x v="1"/>
    <x v="1"/>
    <x v="0"/>
  </r>
  <r>
    <x v="10"/>
    <x v="0"/>
    <s v="SNS-SN573"/>
    <s v="SNS-EX500-241"/>
    <s v="Channel_UCW"/>
    <n v="24"/>
    <n v="13.5"/>
    <n v="324"/>
    <s v="OB-PAF"/>
    <s v="UCW"/>
    <n v="2000"/>
    <s v="PIT UCW"/>
    <n v="648000"/>
    <x v="0"/>
    <s v="12SNS-EX500-241SNSPIT UCW1"/>
    <n v="0.2"/>
    <s v="12SNS-SN573PIT UCW1"/>
    <n v="1"/>
    <n v="648000"/>
    <s v="12SNS-SN573SNSSNS-EX500-2411"/>
    <n v="1"/>
    <s v="Week II"/>
    <s v="UCW"/>
    <s v="SNS-EX500-241SNS"/>
    <x v="0"/>
    <x v="0"/>
    <x v="0"/>
    <x v="0"/>
  </r>
  <r>
    <x v="10"/>
    <x v="0"/>
    <s v="SNS-SN563"/>
    <s v="SNS-EX500-241"/>
    <s v="Channel_UCW"/>
    <n v="13"/>
    <n v="13.5"/>
    <n v="175.5"/>
    <s v="OB-PAF"/>
    <s v="UCW"/>
    <n v="2000"/>
    <s v="PIT UCW"/>
    <n v="351000"/>
    <x v="0"/>
    <s v="12SNS-EX500-241SNSPIT UCW1"/>
    <n v="0.2"/>
    <s v="12SNS-SN563PIT UCW1"/>
    <n v="1"/>
    <n v="351000"/>
    <s v="12SNS-SN563SNSSNS-EX500-2411"/>
    <n v="1"/>
    <s v="Week II"/>
    <s v="UCW"/>
    <s v="SNS-EX500-241SNS"/>
    <x v="0"/>
    <x v="0"/>
    <x v="0"/>
    <x v="0"/>
  </r>
  <r>
    <x v="10"/>
    <x v="0"/>
    <s v="SNS-SN580"/>
    <s v="SNS-EX500-241"/>
    <s v="Channel_UCW"/>
    <n v="9"/>
    <n v="13.5"/>
    <n v="121.5"/>
    <s v="OB-PAF"/>
    <s v="UCW"/>
    <n v="2000"/>
    <s v="PIT UCW"/>
    <n v="243000"/>
    <x v="0"/>
    <s v="12SNS-EX500-241SNSPIT UCW1"/>
    <n v="0.2"/>
    <s v="12SNS-SN580PIT UCW1"/>
    <n v="1"/>
    <n v="243000"/>
    <s v="12SNS-SN580SNSSNS-EX500-2411"/>
    <n v="1"/>
    <s v="Week II"/>
    <s v="UCW"/>
    <s v="SNS-EX500-241SNS"/>
    <x v="0"/>
    <x v="0"/>
    <x v="0"/>
    <x v="0"/>
  </r>
  <r>
    <x v="10"/>
    <x v="0"/>
    <s v="SNS-SN561"/>
    <s v="SNS-EX500-241"/>
    <s v="Channel_UCW"/>
    <n v="23"/>
    <n v="13.5"/>
    <n v="310.5"/>
    <s v="OB-PAF"/>
    <s v="UCW"/>
    <n v="2000"/>
    <s v="PIT UCW"/>
    <n v="621000"/>
    <x v="0"/>
    <s v="12SNS-EX500-241SNSPIT UCW1"/>
    <n v="0.2"/>
    <s v="12SNS-SN561PIT UCW1"/>
    <n v="1"/>
    <n v="621000"/>
    <s v="12SNS-SN561SNSSNS-EX500-2411"/>
    <n v="1"/>
    <s v="Week II"/>
    <s v="UCW"/>
    <s v="SNS-EX500-241SNS"/>
    <x v="0"/>
    <x v="0"/>
    <x v="0"/>
    <x v="0"/>
  </r>
  <r>
    <x v="10"/>
    <x v="0"/>
    <s v="SNS-SN560"/>
    <s v="SNS-EX500-241"/>
    <s v="Channel_UCW"/>
    <n v="20"/>
    <n v="13.5"/>
    <n v="270"/>
    <s v="OB-PAF"/>
    <s v="UCW"/>
    <n v="2000"/>
    <s v="PIT UCW"/>
    <n v="540000"/>
    <x v="0"/>
    <s v="12SNS-EX500-241SNSPIT UCW1"/>
    <n v="0.2"/>
    <s v="12SNS-SN560PIT UCW1"/>
    <n v="1"/>
    <n v="540000"/>
    <s v="12SNS-SN560SNSSNS-EX500-2411"/>
    <n v="1"/>
    <s v="Week II"/>
    <s v="UCW"/>
    <s v="SNS-EX500-241SNS"/>
    <x v="0"/>
    <x v="0"/>
    <x v="0"/>
    <x v="0"/>
  </r>
  <r>
    <x v="10"/>
    <x v="0"/>
    <s v="SNS-SN609"/>
    <s v="SNS-EX520-240"/>
    <s v="UCEX"/>
    <n v="20"/>
    <n v="13.5"/>
    <n v="270"/>
    <s v="OB-PAF"/>
    <s v="UEW_WEST"/>
    <n v="2000"/>
    <s v="PIT UCEX"/>
    <n v="540000"/>
    <x v="0"/>
    <s v="12SNS-EX520-240SNSPIT UCEX1"/>
    <n v="0.2"/>
    <s v="12SNS-SN609PIT UCEX1"/>
    <n v="1"/>
    <n v="540000"/>
    <s v="12SNS-SN609SNSSNS-EX520-2401"/>
    <n v="1"/>
    <s v="Week II"/>
    <s v="UEW"/>
    <s v="SNS-EX520-240SNS"/>
    <x v="0"/>
    <x v="1"/>
    <x v="1"/>
    <x v="0"/>
  </r>
  <r>
    <x v="10"/>
    <x v="0"/>
    <s v="SNS-SN604"/>
    <s v="SNS-EX520-240"/>
    <s v="UCEX"/>
    <n v="20"/>
    <n v="13.5"/>
    <n v="270"/>
    <s v="OB-PAF"/>
    <s v="UEW_WEST"/>
    <n v="2000"/>
    <s v="PIT UCEX"/>
    <n v="540000"/>
    <x v="0"/>
    <s v="12SNS-EX520-240SNSPIT UCEX1"/>
    <n v="0.2"/>
    <s v="12SNS-SN604PIT UCEX1"/>
    <n v="1"/>
    <n v="540000"/>
    <s v="12SNS-SN604SNSSNS-EX520-2401"/>
    <n v="1"/>
    <s v="Week II"/>
    <s v="UEW"/>
    <s v="SNS-EX520-240SNS"/>
    <x v="1"/>
    <x v="1"/>
    <x v="1"/>
    <x v="0"/>
  </r>
  <r>
    <x v="10"/>
    <x v="0"/>
    <s v="SNS-SN605"/>
    <s v="SNS-EX520-240"/>
    <s v="UCEX"/>
    <n v="6"/>
    <n v="13.5"/>
    <n v="81"/>
    <s v="OB-PAF"/>
    <s v="UEW_WEST"/>
    <n v="2000"/>
    <s v="PIT UCEX"/>
    <n v="162000"/>
    <x v="0"/>
    <s v="12SNS-EX520-240SNSPIT UCEX1"/>
    <n v="0.2"/>
    <s v="12SNS-SN605PIT UCEX1"/>
    <n v="1"/>
    <n v="162000"/>
    <s v="12SNS-SN605SNSSNS-EX520-2401"/>
    <n v="1"/>
    <s v="Week II"/>
    <s v="UEW"/>
    <s v="SNS-EX520-240SNS"/>
    <x v="1"/>
    <x v="1"/>
    <x v="1"/>
    <x v="0"/>
  </r>
  <r>
    <x v="10"/>
    <x v="0"/>
    <s v="SNS-SN558"/>
    <s v="SNS-EX520-240"/>
    <s v="UCEX"/>
    <n v="12"/>
    <n v="13.5"/>
    <n v="162"/>
    <s v="OB-PAF"/>
    <s v="UEW_WEST"/>
    <n v="2000"/>
    <s v="PIT UCEX"/>
    <n v="324000"/>
    <x v="0"/>
    <s v="12SNS-EX520-240SNSPIT UCEX1"/>
    <n v="0.2"/>
    <s v="12SNS-SN558PIT UCEX1"/>
    <n v="1"/>
    <n v="324000"/>
    <s v="12SNS-SN558SNSSNS-EX520-2401"/>
    <n v="1"/>
    <s v="Week II"/>
    <s v="UEW"/>
    <s v="SNS-EX520-240SNS"/>
    <x v="0"/>
    <x v="1"/>
    <x v="1"/>
    <x v="0"/>
  </r>
  <r>
    <x v="10"/>
    <x v="0"/>
    <s v="SNS-SN582"/>
    <s v="SNS-EX520-240"/>
    <s v="UCEX"/>
    <n v="1"/>
    <n v="13.5"/>
    <n v="13.5"/>
    <s v="OB-PAF"/>
    <s v="UEW_WEST"/>
    <n v="2000"/>
    <s v="PIT UCEX"/>
    <n v="27000"/>
    <x v="0"/>
    <s v="12SNS-EX520-240SNSPIT UCEX1"/>
    <n v="0.2"/>
    <s v="12SNS-SN582PIT UCEX1"/>
    <n v="0.5"/>
    <n v="27000"/>
    <s v="12SNS-SN582SNSSNS-EX520-2401"/>
    <n v="1"/>
    <s v="Week II"/>
    <s v="UEW"/>
    <s v="SNS-EX520-240SNS"/>
    <x v="0"/>
    <x v="1"/>
    <x v="1"/>
    <x v="0"/>
  </r>
  <r>
    <x v="10"/>
    <x v="0"/>
    <s v="SNS-SN608"/>
    <s v="SNS-EX520-245"/>
    <s v="UCE_TJP"/>
    <n v="18"/>
    <n v="13.5"/>
    <n v="243"/>
    <s v="OB-PAF"/>
    <s v="M2W"/>
    <n v="2000"/>
    <s v="UCE_TJP"/>
    <n v="486000"/>
    <x v="0"/>
    <s v="12SNS-EX520-245SNSUCE_TJP1"/>
    <n v="0.25"/>
    <s v="12SNS-SN608UCE_TJP1"/>
    <n v="1"/>
    <n v="486000"/>
    <s v="12SNS-SN608SNSSNS-EX520-2451"/>
    <n v="1"/>
    <s v="Week II"/>
    <s v="M2W"/>
    <s v="SNS-EX520-245SNS"/>
    <x v="0"/>
    <x v="2"/>
    <x v="2"/>
    <x v="0"/>
  </r>
  <r>
    <x v="10"/>
    <x v="0"/>
    <s v="SNS-SN603"/>
    <s v="SNS-EX520-245"/>
    <s v="UCE_TJP"/>
    <n v="18"/>
    <n v="13.5"/>
    <n v="243"/>
    <s v="OB-PAF"/>
    <s v="M2W"/>
    <n v="2000"/>
    <s v="UCE_TJP"/>
    <n v="486000"/>
    <x v="0"/>
    <s v="12SNS-EX520-245SNSUCE_TJP1"/>
    <n v="0.25"/>
    <s v="12SNS-SN603UCE_TJP1"/>
    <n v="1"/>
    <n v="486000"/>
    <s v="12SNS-SN603SNSSNS-EX520-2451"/>
    <n v="1"/>
    <s v="Week II"/>
    <s v="M2W"/>
    <s v="SNS-EX520-245SNS"/>
    <x v="1"/>
    <x v="2"/>
    <x v="2"/>
    <x v="0"/>
  </r>
  <r>
    <x v="10"/>
    <x v="0"/>
    <s v="SNS-SN579"/>
    <s v="SNS-EX520-245"/>
    <s v="UCE_TJP"/>
    <n v="17"/>
    <n v="13.5"/>
    <n v="229.5"/>
    <s v="OB-PAF"/>
    <s v="M2W"/>
    <n v="2000"/>
    <s v="UCE_TJP"/>
    <n v="459000"/>
    <x v="0"/>
    <s v="12SNS-EX520-245SNSUCE_TJP1"/>
    <n v="0.25"/>
    <s v="12SNS-SN579UCE_TJP1"/>
    <n v="1"/>
    <n v="459000"/>
    <s v="12SNS-SN579SNSSNS-EX520-2451"/>
    <n v="1"/>
    <s v="Week II"/>
    <s v="M2W"/>
    <s v="SNS-EX520-245SNS"/>
    <x v="0"/>
    <x v="2"/>
    <x v="2"/>
    <x v="0"/>
  </r>
  <r>
    <x v="10"/>
    <x v="0"/>
    <s v="SNS-SN564"/>
    <s v="SNS-EX520-245"/>
    <s v="UCE_TJP"/>
    <n v="13"/>
    <n v="13.5"/>
    <n v="175.5"/>
    <s v="OB-PAF"/>
    <s v="M2W"/>
    <n v="2000"/>
    <s v="UCE_TJP"/>
    <n v="351000"/>
    <x v="0"/>
    <s v="12SNS-EX520-245SNSUCE_TJP1"/>
    <n v="0.25"/>
    <s v="12SNS-SN564UCE_TJP1"/>
    <n v="1"/>
    <n v="351000"/>
    <s v="12SNS-SN564SNSSNS-EX520-2451"/>
    <n v="1"/>
    <s v="Week II"/>
    <s v="M2W"/>
    <s v="SNS-EX520-245SNS"/>
    <x v="0"/>
    <x v="2"/>
    <x v="2"/>
    <x v="0"/>
  </r>
  <r>
    <x v="10"/>
    <x v="0"/>
    <s v="SNS-SN568"/>
    <s v="SNS-EX520-248"/>
    <s v="UCEX"/>
    <n v="11"/>
    <n v="13.5"/>
    <n v="148.5"/>
    <s v="OB-PAF"/>
    <s v="UEW_WEST"/>
    <n v="2000"/>
    <s v="PIT UCEX"/>
    <n v="297000"/>
    <x v="0"/>
    <s v="12SNS-EX520-248SNSPIT UCEX1"/>
    <n v="0.25"/>
    <s v="12SNS-SN568PIT UCEX1"/>
    <n v="1"/>
    <n v="297000"/>
    <s v="12SNS-SN568SNSSNS-EX520-2481"/>
    <n v="1"/>
    <s v="Week II"/>
    <s v="UEW"/>
    <s v="SNS-EX520-248SNS"/>
    <x v="0"/>
    <x v="1"/>
    <x v="1"/>
    <x v="0"/>
  </r>
  <r>
    <x v="10"/>
    <x v="0"/>
    <s v="SNS-SN569"/>
    <s v="SNS-EX520-248"/>
    <s v="UCEX"/>
    <n v="20"/>
    <n v="13.5"/>
    <n v="270"/>
    <s v="OB-PAF"/>
    <s v="UEW_WEST"/>
    <n v="2000"/>
    <s v="PIT UCEX"/>
    <n v="540000"/>
    <x v="0"/>
    <s v="12SNS-EX520-248SNSPIT UCEX1"/>
    <n v="0.25"/>
    <s v="12SNS-SN569PIT UCEX1"/>
    <n v="1"/>
    <n v="540000"/>
    <s v="12SNS-SN569SNSSNS-EX520-2481"/>
    <n v="1"/>
    <s v="Week II"/>
    <s v="UEW"/>
    <s v="SNS-EX520-248SNS"/>
    <x v="0"/>
    <x v="1"/>
    <x v="1"/>
    <x v="0"/>
  </r>
  <r>
    <x v="10"/>
    <x v="0"/>
    <s v="SNS-SN606"/>
    <s v="SNS-EX520-248"/>
    <s v="UCEX"/>
    <n v="19"/>
    <n v="13.5"/>
    <n v="256.5"/>
    <s v="OB-PAF"/>
    <s v="UEW_WEST"/>
    <n v="2000"/>
    <s v="PIT UCEX"/>
    <n v="513000"/>
    <x v="0"/>
    <s v="12SNS-EX520-248SNSPIT UCEX1"/>
    <n v="0.25"/>
    <s v="12SNS-SN606PIT UCEX1"/>
    <n v="1"/>
    <n v="513000"/>
    <s v="12SNS-SN606SNSSNS-EX520-2481"/>
    <n v="1"/>
    <s v="Week II"/>
    <s v="UEW"/>
    <s v="SNS-EX520-248SNS"/>
    <x v="1"/>
    <x v="1"/>
    <x v="1"/>
    <x v="0"/>
  </r>
  <r>
    <x v="10"/>
    <x v="0"/>
    <s v="SNS-SN582"/>
    <s v="SNS-EX520-248"/>
    <s v="UCEX"/>
    <n v="15"/>
    <n v="13.5"/>
    <n v="202.5"/>
    <s v="OB-PAF"/>
    <s v="UEW_WEST"/>
    <n v="2000"/>
    <s v="PIT UCEX"/>
    <n v="405000"/>
    <x v="0"/>
    <s v="12SNS-EX520-248SNSPIT UCEX1"/>
    <n v="0.25"/>
    <s v="12SNS-SN582PIT UCEX1"/>
    <n v="0.5"/>
    <n v="405000"/>
    <s v="12SNS-SN582SNSSNS-EX520-2481"/>
    <n v="1"/>
    <s v="Week II"/>
    <s v="UEW"/>
    <s v="SNS-EX520-248SNS"/>
    <x v="0"/>
    <x v="1"/>
    <x v="1"/>
    <x v="0"/>
  </r>
  <r>
    <x v="10"/>
    <x v="0"/>
    <s v="SNS-SN566"/>
    <s v="SNS-EX520-239"/>
    <s v="UCEX"/>
    <n v="22"/>
    <n v="13.5"/>
    <n v="297"/>
    <s v="OB-PAF"/>
    <s v="UEW_WEST"/>
    <n v="2000"/>
    <s v="PIT UCEX"/>
    <n v="594000"/>
    <x v="0"/>
    <s v="12SNS-EX520-239SNSPIT UCEX1"/>
    <n v="0.33333333333333331"/>
    <s v="12SNS-SN566PIT UCEX1"/>
    <n v="1"/>
    <n v="594000"/>
    <s v="12SNS-SN566SNSSNS-EX520-2391"/>
    <n v="1"/>
    <s v="Week II"/>
    <s v="UEW"/>
    <s v="SNS-EX520-239SNS"/>
    <x v="0"/>
    <x v="1"/>
    <x v="1"/>
    <x v="0"/>
  </r>
  <r>
    <x v="10"/>
    <x v="0"/>
    <s v="SNS-SN557"/>
    <s v="SNS-EX520-239"/>
    <s v="UCEX"/>
    <n v="22"/>
    <n v="13.5"/>
    <n v="297"/>
    <s v="OB-PAF"/>
    <s v="UEW_WEST"/>
    <n v="2000"/>
    <s v="PIT UCEX"/>
    <n v="594000"/>
    <x v="0"/>
    <s v="12SNS-EX520-239SNSPIT UCEX1"/>
    <n v="0.33333333333333331"/>
    <s v="12SNS-SN557PIT UCEX1"/>
    <n v="1"/>
    <n v="594000"/>
    <s v="12SNS-SN557SNSSNS-EX520-2391"/>
    <n v="1"/>
    <s v="Week II"/>
    <s v="UEW"/>
    <s v="SNS-EX520-239SNS"/>
    <x v="0"/>
    <x v="1"/>
    <x v="1"/>
    <x v="0"/>
  </r>
  <r>
    <x v="10"/>
    <x v="0"/>
    <s v="SNS-SN571"/>
    <s v="SNS-EX520-239"/>
    <s v="UCEX"/>
    <n v="19"/>
    <n v="13.5"/>
    <n v="256.5"/>
    <s v="OB-PAF"/>
    <s v="UEW_WEST"/>
    <n v="2000"/>
    <s v="PIT UCEX"/>
    <n v="513000"/>
    <x v="0"/>
    <s v="12SNS-EX520-239SNSPIT UCEX1"/>
    <n v="0.33333333333333331"/>
    <s v="12SNS-SN571PIT UCEX1"/>
    <n v="1"/>
    <n v="513000"/>
    <s v="12SNS-SN571SNSSNS-EX520-2391"/>
    <n v="1"/>
    <s v="Week II"/>
    <s v="UEW"/>
    <s v="SNS-EX520-239SNS"/>
    <x v="0"/>
    <x v="1"/>
    <x v="1"/>
    <x v="0"/>
  </r>
  <r>
    <x v="11"/>
    <x v="0"/>
    <s v="SNS-SN561"/>
    <s v="SNS-EX520-239"/>
    <s v="UCEX"/>
    <n v="11"/>
    <n v="13.5"/>
    <n v="148.5"/>
    <s v="OB-PAF"/>
    <s v="UEW_WEST"/>
    <n v="2000"/>
    <s v="PIT UCEX"/>
    <n v="297000"/>
    <x v="0"/>
    <s v="13SNS-EX520-239SNSPIT UCEX1"/>
    <n v="0.33333333333333331"/>
    <s v="13SNS-SN561PIT UCEX1"/>
    <n v="1"/>
    <n v="297000"/>
    <s v="13SNS-SN561SNSSNS-EX520-2391"/>
    <n v="1"/>
    <s v="Week III"/>
    <s v="UEW"/>
    <s v="SNS-EX520-239SNS"/>
    <x v="0"/>
    <x v="1"/>
    <x v="1"/>
    <x v="0"/>
  </r>
  <r>
    <x v="11"/>
    <x v="0"/>
    <s v="SNS-SN609"/>
    <s v="SNS-EX520-239"/>
    <s v="UCEX"/>
    <n v="10"/>
    <n v="13.5"/>
    <n v="135"/>
    <s v="OB-PAF"/>
    <s v="UEW_WEST"/>
    <n v="2000"/>
    <s v="PIT UCEX"/>
    <n v="270000"/>
    <x v="0"/>
    <s v="13SNS-EX520-239SNSPIT UCEX1"/>
    <n v="0.33333333333333331"/>
    <s v="13SNS-SN609PIT UCEX1"/>
    <n v="1"/>
    <n v="270000"/>
    <s v="13SNS-SN609SNSSNS-EX520-2391"/>
    <n v="1"/>
    <s v="Week III"/>
    <s v="UEW"/>
    <s v="SNS-EX520-239SNS"/>
    <x v="0"/>
    <x v="1"/>
    <x v="1"/>
    <x v="0"/>
  </r>
  <r>
    <x v="11"/>
    <x v="0"/>
    <s v="SNS-SN566"/>
    <s v="SNS-EX520-239"/>
    <s v="UCEX"/>
    <n v="10"/>
    <n v="13.5"/>
    <n v="135"/>
    <s v="OB-PAF"/>
    <s v="UEW_WEST"/>
    <n v="2000"/>
    <s v="PIT UCEX"/>
    <n v="270000"/>
    <x v="0"/>
    <s v="13SNS-EX520-239SNSPIT UCEX1"/>
    <n v="0.33333333333333331"/>
    <s v="13SNS-SN566PIT UCEX1"/>
    <n v="1"/>
    <n v="270000"/>
    <s v="13SNS-SN566SNSSNS-EX520-2391"/>
    <n v="1"/>
    <s v="Week III"/>
    <s v="UEW"/>
    <s v="SNS-EX520-239SNS"/>
    <x v="0"/>
    <x v="1"/>
    <x v="1"/>
    <x v="0"/>
  </r>
  <r>
    <x v="11"/>
    <x v="0"/>
    <s v="SNS-SN568"/>
    <s v="SNS-EX520-248"/>
    <s v="UCEX"/>
    <n v="10"/>
    <n v="13.5"/>
    <n v="135"/>
    <s v="OB-PAF"/>
    <s v="UEW_WEST"/>
    <n v="2000"/>
    <s v="PIT UCEX"/>
    <n v="270000"/>
    <x v="0"/>
    <s v="13SNS-EX520-248SNSPIT UCEX1"/>
    <n v="0.33333333333333331"/>
    <s v="13SNS-SN568PIT UCEX1"/>
    <n v="1"/>
    <n v="270000"/>
    <s v="13SNS-SN568SNSSNS-EX520-2481"/>
    <n v="1"/>
    <s v="Week III"/>
    <s v="UEW"/>
    <s v="SNS-EX520-248SNS"/>
    <x v="0"/>
    <x v="1"/>
    <x v="1"/>
    <x v="0"/>
  </r>
  <r>
    <x v="11"/>
    <x v="0"/>
    <s v="SNS-SN569"/>
    <s v="SNS-EX520-248"/>
    <s v="UCEX"/>
    <n v="12"/>
    <n v="13.5"/>
    <n v="162"/>
    <s v="OB-PAF"/>
    <s v="UEW_WEST"/>
    <n v="2000"/>
    <s v="PIT UCEX"/>
    <n v="324000"/>
    <x v="0"/>
    <s v="13SNS-EX520-248SNSPIT UCEX1"/>
    <n v="0.33333333333333331"/>
    <s v="13SNS-SN569PIT UCEX1"/>
    <n v="1"/>
    <n v="324000"/>
    <s v="13SNS-SN569SNSSNS-EX520-2481"/>
    <n v="1"/>
    <s v="Week III"/>
    <s v="UEW"/>
    <s v="SNS-EX520-248SNS"/>
    <x v="0"/>
    <x v="1"/>
    <x v="1"/>
    <x v="0"/>
  </r>
  <r>
    <x v="11"/>
    <x v="0"/>
    <s v="SNS-SN606"/>
    <s v="SNS-EX520-248"/>
    <s v="UCEX"/>
    <n v="11"/>
    <n v="13.5"/>
    <n v="148.5"/>
    <s v="OB-PAF"/>
    <s v="UEW_WEST"/>
    <n v="2000"/>
    <s v="PIT UCEX"/>
    <n v="297000"/>
    <x v="0"/>
    <s v="13SNS-EX520-248SNSPIT UCEX1"/>
    <n v="0.33333333333333331"/>
    <s v="13SNS-SN606PIT UCEX1"/>
    <n v="1"/>
    <n v="297000"/>
    <s v="13SNS-SN606SNSSNS-EX520-2481"/>
    <n v="1"/>
    <s v="Week III"/>
    <s v="UEW"/>
    <s v="SNS-EX520-248SNS"/>
    <x v="1"/>
    <x v="1"/>
    <x v="1"/>
    <x v="0"/>
  </r>
  <r>
    <x v="11"/>
    <x v="0"/>
    <s v="SNS-SN608"/>
    <s v="SNS-EX520-245"/>
    <s v="UCE_TJP"/>
    <n v="6"/>
    <n v="13.5"/>
    <n v="81"/>
    <s v="OB-PAF"/>
    <s v="M2W"/>
    <n v="2000"/>
    <s v="UCE_TJP"/>
    <n v="162000"/>
    <x v="0"/>
    <s v="13SNS-EX520-245SNSUCE_TJP1"/>
    <n v="0.25"/>
    <s v="13SNS-SN608UCE_TJP1"/>
    <n v="1"/>
    <n v="162000"/>
    <s v="13SNS-SN608SNSSNS-EX520-2451"/>
    <n v="1"/>
    <s v="Week III"/>
    <s v="M2W"/>
    <s v="SNS-EX520-245SNS"/>
    <x v="0"/>
    <x v="2"/>
    <x v="2"/>
    <x v="0"/>
  </r>
  <r>
    <x v="11"/>
    <x v="0"/>
    <s v="SNS-SN559"/>
    <s v="SNS-EX520-245"/>
    <s v="UCE_TJP"/>
    <n v="6"/>
    <n v="13.5"/>
    <n v="81"/>
    <s v="OB-PAF"/>
    <s v="M2W"/>
    <n v="2000"/>
    <s v="UCE_TJP"/>
    <n v="162000"/>
    <x v="0"/>
    <s v="13SNS-EX520-245SNSUCE_TJP1"/>
    <n v="0.25"/>
    <s v="13SNS-SN559UCE_TJP1"/>
    <n v="1"/>
    <n v="162000"/>
    <s v="13SNS-SN559SNSSNS-EX520-2451"/>
    <n v="1"/>
    <s v="Week III"/>
    <s v="M2W"/>
    <s v="SNS-EX520-245SNS"/>
    <x v="0"/>
    <x v="2"/>
    <x v="2"/>
    <x v="0"/>
  </r>
  <r>
    <x v="11"/>
    <x v="0"/>
    <s v="SNS-SN603"/>
    <s v="SNS-EX520-245"/>
    <s v="UCE_TJP"/>
    <n v="6"/>
    <n v="13.5"/>
    <n v="81"/>
    <s v="OB-PAF"/>
    <s v="M2W"/>
    <n v="2000"/>
    <s v="UCE_TJP"/>
    <n v="162000"/>
    <x v="0"/>
    <s v="13SNS-EX520-245SNSUCE_TJP1"/>
    <n v="0.25"/>
    <s v="13SNS-SN603UCE_TJP1"/>
    <n v="1"/>
    <n v="162000"/>
    <s v="13SNS-SN603SNSSNS-EX520-2451"/>
    <n v="1"/>
    <s v="Week III"/>
    <s v="M2W"/>
    <s v="SNS-EX520-245SNS"/>
    <x v="1"/>
    <x v="2"/>
    <x v="2"/>
    <x v="0"/>
  </r>
  <r>
    <x v="11"/>
    <x v="0"/>
    <s v="SNS-SN564"/>
    <s v="SNS-EX520-245"/>
    <s v="UCE_TJP"/>
    <n v="6"/>
    <n v="13.5"/>
    <n v="81"/>
    <s v="OB-PAF"/>
    <s v="M2W"/>
    <n v="2000"/>
    <s v="UCE_TJP"/>
    <n v="162000"/>
    <x v="0"/>
    <s v="13SNS-EX520-245SNSUCE_TJP1"/>
    <n v="0.25"/>
    <s v="13SNS-SN564UCE_TJP1"/>
    <n v="1"/>
    <n v="162000"/>
    <s v="13SNS-SN564SNSSNS-EX520-2451"/>
    <n v="1"/>
    <s v="Week III"/>
    <s v="M2W"/>
    <s v="SNS-EX520-245SNS"/>
    <x v="0"/>
    <x v="2"/>
    <x v="2"/>
    <x v="0"/>
  </r>
  <r>
    <x v="11"/>
    <x v="0"/>
    <s v="SNS-SN582"/>
    <s v="SNS-EX520-240"/>
    <s v="UCEX"/>
    <n v="7"/>
    <n v="13.5"/>
    <n v="94.5"/>
    <s v="OB-PAF"/>
    <s v="UEW_WEST"/>
    <n v="2000"/>
    <s v="PIT UCEX"/>
    <n v="189000"/>
    <x v="0"/>
    <s v="13SNS-EX520-240SNSPIT UCEX1"/>
    <n v="0.33333333333333331"/>
    <s v="13SNS-SN582PIT UCEX1"/>
    <n v="1"/>
    <n v="189000"/>
    <s v="13SNS-SN582SNSSNS-EX520-2401"/>
    <n v="1"/>
    <s v="Week III"/>
    <s v="UEW"/>
    <s v="SNS-EX520-240SNS"/>
    <x v="0"/>
    <x v="1"/>
    <x v="1"/>
    <x v="0"/>
  </r>
  <r>
    <x v="11"/>
    <x v="0"/>
    <s v="SNS-SN604"/>
    <s v="SNS-EX520-240"/>
    <s v="UCEX"/>
    <n v="10"/>
    <n v="13.5"/>
    <n v="135"/>
    <s v="OB-PAF"/>
    <s v="UEW_WEST"/>
    <n v="2000"/>
    <s v="PIT UCEX"/>
    <n v="270000"/>
    <x v="0"/>
    <s v="13SNS-EX520-240SNSPIT UCEX1"/>
    <n v="0.33333333333333331"/>
    <s v="13SNS-SN604PIT UCEX1"/>
    <n v="1"/>
    <n v="270000"/>
    <s v="13SNS-SN604SNSSNS-EX520-2401"/>
    <n v="1"/>
    <s v="Week III"/>
    <s v="UEW"/>
    <s v="SNS-EX520-240SNS"/>
    <x v="1"/>
    <x v="1"/>
    <x v="1"/>
    <x v="0"/>
  </r>
  <r>
    <x v="11"/>
    <x v="0"/>
    <s v="SNS-SN557"/>
    <s v="SNS-EX520-240"/>
    <s v="UCEX"/>
    <n v="9"/>
    <n v="13.5"/>
    <n v="121.5"/>
    <s v="OB-PAF"/>
    <s v="UEW_WEST"/>
    <n v="2000"/>
    <s v="PIT UCEX"/>
    <n v="243000"/>
    <x v="0"/>
    <s v="13SNS-EX520-240SNSPIT UCEX1"/>
    <n v="0.33333333333333331"/>
    <s v="13SNS-SN557PIT UCEX1"/>
    <n v="1"/>
    <n v="243000"/>
    <s v="13SNS-SN557SNSSNS-EX520-2401"/>
    <n v="1"/>
    <s v="Week III"/>
    <s v="UEW"/>
    <s v="SNS-EX520-240SNS"/>
    <x v="0"/>
    <x v="1"/>
    <x v="1"/>
    <x v="0"/>
  </r>
  <r>
    <x v="11"/>
    <x v="0"/>
    <s v="SNS-SN579"/>
    <s v="SNS-EX500-241"/>
    <s v="Channel_UCW"/>
    <n v="15"/>
    <n v="13.5"/>
    <n v="202.5"/>
    <s v="OB-PAF"/>
    <s v="UCW"/>
    <n v="2000"/>
    <s v="PIT UCW"/>
    <n v="405000"/>
    <x v="0"/>
    <s v="13SNS-EX500-241SNSPIT UCW1"/>
    <n v="0.2"/>
    <s v="13SNS-SN579PIT UCW1"/>
    <n v="1"/>
    <n v="405000"/>
    <s v="13SNS-SN579SNSSNS-EX500-2411"/>
    <n v="1"/>
    <s v="Week III"/>
    <s v="UCW"/>
    <s v="SNS-EX500-241SNS"/>
    <x v="0"/>
    <x v="0"/>
    <x v="0"/>
    <x v="0"/>
  </r>
  <r>
    <x v="11"/>
    <x v="0"/>
    <s v="SNS-SN580"/>
    <s v="SNS-EX500-241"/>
    <s v="Channel_UCW"/>
    <n v="15"/>
    <n v="13.5"/>
    <n v="202.5"/>
    <s v="OB-PAF"/>
    <s v="UCW"/>
    <n v="2000"/>
    <s v="PIT UCW"/>
    <n v="405000"/>
    <x v="0"/>
    <s v="13SNS-EX500-241SNSPIT UCW1"/>
    <n v="0.2"/>
    <s v="13SNS-SN580PIT UCW1"/>
    <n v="1"/>
    <n v="405000"/>
    <s v="13SNS-SN580SNSSNS-EX500-2411"/>
    <n v="1"/>
    <s v="Week III"/>
    <s v="UCW"/>
    <s v="SNS-EX500-241SNS"/>
    <x v="0"/>
    <x v="0"/>
    <x v="0"/>
    <x v="0"/>
  </r>
  <r>
    <x v="11"/>
    <x v="0"/>
    <s v="SNS-SN524"/>
    <s v="SNS-EX500-241"/>
    <s v="Channel_UCW"/>
    <n v="14"/>
    <n v="13.5"/>
    <n v="189"/>
    <s v="OB-PAF"/>
    <s v="UCW"/>
    <n v="2000"/>
    <s v="PIT UCW"/>
    <n v="378000"/>
    <x v="0"/>
    <s v="13SNS-EX500-241SNSPIT UCW1"/>
    <n v="0.2"/>
    <s v="13SNS-SN524PIT UCW1"/>
    <n v="1"/>
    <n v="378000"/>
    <s v="13SNS-SN524SNSSNS-EX500-2411"/>
    <n v="1"/>
    <s v="Week III"/>
    <s v="UCW"/>
    <s v="SNS-EX500-241SNS"/>
    <x v="0"/>
    <x v="0"/>
    <x v="0"/>
    <x v="0"/>
  </r>
  <r>
    <x v="11"/>
    <x v="0"/>
    <s v="SNS-SN573"/>
    <s v="SNS-EX500-241"/>
    <s v="Channel_UCW"/>
    <n v="16"/>
    <n v="13.5"/>
    <n v="216"/>
    <s v="OB-PAF"/>
    <s v="UCW"/>
    <n v="2000"/>
    <s v="PIT UCW"/>
    <n v="432000"/>
    <x v="0"/>
    <s v="13SNS-EX500-241SNSPIT UCW1"/>
    <n v="0.2"/>
    <s v="13SNS-SN573PIT UCW1"/>
    <n v="1"/>
    <n v="432000"/>
    <s v="13SNS-SN573SNSSNS-EX500-2411"/>
    <n v="1"/>
    <s v="Week III"/>
    <s v="UCW"/>
    <s v="SNS-EX500-241SNS"/>
    <x v="0"/>
    <x v="0"/>
    <x v="0"/>
    <x v="0"/>
  </r>
  <r>
    <x v="11"/>
    <x v="0"/>
    <s v="SNS-SN572"/>
    <s v="SNS-EX500-241"/>
    <s v="Channel_UCW"/>
    <n v="14"/>
    <n v="13.5"/>
    <n v="189"/>
    <s v="OB-PAF"/>
    <s v="UCW"/>
    <n v="2000"/>
    <s v="PIT UCW"/>
    <n v="378000"/>
    <x v="0"/>
    <s v="13SNS-EX500-241SNSPIT UCW1"/>
    <n v="0.2"/>
    <s v="13SNS-SN572PIT UCW1"/>
    <n v="1"/>
    <n v="378000"/>
    <s v="13SNS-SN572SNSSNS-EX500-2411"/>
    <n v="1"/>
    <s v="Week III"/>
    <s v="UCW"/>
    <s v="SNS-EX500-241SNS"/>
    <x v="0"/>
    <x v="0"/>
    <x v="0"/>
    <x v="0"/>
  </r>
  <r>
    <x v="12"/>
    <x v="0"/>
    <s v="SNS-SN579"/>
    <s v="SNS-EX500-241"/>
    <s v="Channel_UCW"/>
    <n v="15"/>
    <n v="13.5"/>
    <n v="202.5"/>
    <s v="OB-PAF"/>
    <s v="UCW"/>
    <n v="2000"/>
    <s v="PIT UCW"/>
    <n v="405000"/>
    <x v="0"/>
    <s v="14SNS-EX500-241SNSPIT UCW1"/>
    <n v="0.2"/>
    <s v="14SNS-SN579PIT UCW1"/>
    <n v="1"/>
    <n v="405000"/>
    <s v="14SNS-SN579SNSSNS-EX500-2411"/>
    <n v="1"/>
    <s v="Week III"/>
    <s v="UCW"/>
    <s v="SNS-EX500-241SNS"/>
    <x v="0"/>
    <x v="0"/>
    <x v="0"/>
    <x v="0"/>
  </r>
  <r>
    <x v="12"/>
    <x v="0"/>
    <s v="SNS-SN524"/>
    <s v="SNS-EX500-241"/>
    <s v="Channel_UCW"/>
    <n v="15"/>
    <n v="13.5"/>
    <n v="202.5"/>
    <s v="OB-PAF"/>
    <s v="UCW"/>
    <n v="2000"/>
    <s v="PIT UCW"/>
    <n v="405000"/>
    <x v="0"/>
    <s v="14SNS-EX500-241SNSPIT UCW1"/>
    <n v="0.2"/>
    <s v="14SNS-SN524PIT UCW1"/>
    <n v="1"/>
    <n v="405000"/>
    <s v="14SNS-SN524SNSSNS-EX500-2411"/>
    <n v="1"/>
    <s v="Week III"/>
    <s v="UCW"/>
    <s v="SNS-EX500-241SNS"/>
    <x v="0"/>
    <x v="0"/>
    <x v="0"/>
    <x v="0"/>
  </r>
  <r>
    <x v="12"/>
    <x v="0"/>
    <s v="SNS-SN580"/>
    <s v="SNS-EX500-241"/>
    <s v="Channel_UCW"/>
    <n v="15"/>
    <n v="13.5"/>
    <n v="202.5"/>
    <s v="OB-PAF"/>
    <s v="UCW"/>
    <n v="2000"/>
    <s v="PIT UCW"/>
    <n v="405000"/>
    <x v="0"/>
    <s v="14SNS-EX500-241SNSPIT UCW1"/>
    <n v="0.2"/>
    <s v="14SNS-SN580PIT UCW1"/>
    <n v="1"/>
    <n v="405000"/>
    <s v="14SNS-SN580SNSSNS-EX500-2411"/>
    <n v="1"/>
    <s v="Week III"/>
    <s v="UCW"/>
    <s v="SNS-EX500-241SNS"/>
    <x v="0"/>
    <x v="0"/>
    <x v="0"/>
    <x v="0"/>
  </r>
  <r>
    <x v="12"/>
    <x v="0"/>
    <s v="SNS-SN572"/>
    <s v="SNS-EX500-241"/>
    <s v="Channel_UCW"/>
    <n v="14"/>
    <n v="13.5"/>
    <n v="189"/>
    <s v="OB-PAF"/>
    <s v="UCW"/>
    <n v="2000"/>
    <s v="PIT UCW"/>
    <n v="378000"/>
    <x v="0"/>
    <s v="14SNS-EX500-241SNSPIT UCW1"/>
    <n v="0.2"/>
    <s v="14SNS-SN572PIT UCW1"/>
    <n v="1"/>
    <n v="378000"/>
    <s v="14SNS-SN572SNSSNS-EX500-2411"/>
    <n v="1"/>
    <s v="Week III"/>
    <s v="UCW"/>
    <s v="SNS-EX500-241SNS"/>
    <x v="0"/>
    <x v="0"/>
    <x v="0"/>
    <x v="0"/>
  </r>
  <r>
    <x v="12"/>
    <x v="0"/>
    <s v="SNS-SN573"/>
    <s v="SNS-EX500-241"/>
    <s v="Channel_UCW"/>
    <n v="14"/>
    <n v="13.5"/>
    <n v="189"/>
    <s v="OB-PAF"/>
    <s v="UCW"/>
    <n v="2000"/>
    <s v="PIT UCW"/>
    <n v="378000"/>
    <x v="0"/>
    <s v="14SNS-EX500-241SNSPIT UCW1"/>
    <n v="0.2"/>
    <s v="14SNS-SN573PIT UCW1"/>
    <n v="1"/>
    <n v="378000"/>
    <s v="14SNS-SN573SNSSNS-EX500-2411"/>
    <n v="1"/>
    <s v="Week III"/>
    <s v="UCW"/>
    <s v="SNS-EX500-241SNS"/>
    <x v="0"/>
    <x v="0"/>
    <x v="0"/>
    <x v="0"/>
  </r>
  <r>
    <x v="12"/>
    <x v="0"/>
    <s v="SNS-SN608"/>
    <s v="SNS-EX520-245"/>
    <s v="UCE_TJP"/>
    <n v="17"/>
    <n v="13.5"/>
    <n v="229.5"/>
    <s v="OB-PAF"/>
    <s v="M2W"/>
    <n v="2000"/>
    <s v="UCE_TJP"/>
    <n v="459000"/>
    <x v="0"/>
    <s v="14SNS-EX520-245SNSUCE_TJP1"/>
    <n v="0.16666666666666666"/>
    <s v="14SNS-SN608UCE_TJP1"/>
    <n v="1"/>
    <n v="459000"/>
    <s v="14SNS-SN608SNSSNS-EX520-2451"/>
    <n v="1"/>
    <s v="Week III"/>
    <s v="M2W"/>
    <s v="SNS-EX520-245SNS"/>
    <x v="0"/>
    <x v="2"/>
    <x v="2"/>
    <x v="0"/>
  </r>
  <r>
    <x v="12"/>
    <x v="0"/>
    <s v="SNS-SN603"/>
    <s v="SNS-EX520-245"/>
    <s v="UCE_TJP"/>
    <n v="3"/>
    <n v="13.5"/>
    <n v="40.5"/>
    <s v="OB-PAF"/>
    <s v="M2W"/>
    <n v="2000"/>
    <s v="UCE_TJP"/>
    <n v="81000"/>
    <x v="0"/>
    <s v="14SNS-EX520-245SNSUCE_TJP1"/>
    <n v="0.16666666666666666"/>
    <s v="14SNS-SN603UCE_TJP1"/>
    <n v="1"/>
    <n v="81000"/>
    <s v="14SNS-SN603SNSSNS-EX520-2451"/>
    <n v="1"/>
    <s v="Week III"/>
    <s v="M2W"/>
    <s v="SNS-EX520-245SNS"/>
    <x v="1"/>
    <x v="2"/>
    <x v="2"/>
    <x v="0"/>
  </r>
  <r>
    <x v="12"/>
    <x v="0"/>
    <s v="SNS-SN560"/>
    <s v="SNS-EX520-245"/>
    <s v="UCE_TJP"/>
    <n v="10"/>
    <n v="13.5"/>
    <n v="135"/>
    <s v="OB-PAF"/>
    <s v="M2W"/>
    <n v="2000"/>
    <s v="UCE_TJP"/>
    <n v="270000"/>
    <x v="0"/>
    <s v="14SNS-EX520-245SNSUCE_TJP1"/>
    <n v="0.16666666666666666"/>
    <s v="14SNS-SN560UCE_TJP1"/>
    <n v="1"/>
    <n v="270000"/>
    <s v="14SNS-SN560SNSSNS-EX520-2451"/>
    <n v="1"/>
    <s v="Week III"/>
    <s v="M2W"/>
    <s v="SNS-EX520-245SNS"/>
    <x v="0"/>
    <x v="2"/>
    <x v="2"/>
    <x v="0"/>
  </r>
  <r>
    <x v="12"/>
    <x v="0"/>
    <s v="SNS-SN605"/>
    <s v="SNS-EX520-245"/>
    <s v="UCE_TJP"/>
    <n v="16"/>
    <n v="13.5"/>
    <n v="216"/>
    <s v="OB-PAF"/>
    <s v="M2W"/>
    <n v="2000"/>
    <s v="UCE_TJP"/>
    <n v="432000"/>
    <x v="0"/>
    <s v="14SNS-EX520-245SNSUCE_TJP1"/>
    <n v="0.16666666666666666"/>
    <s v="14SNS-SN605UCE_TJP1"/>
    <n v="1"/>
    <n v="432000"/>
    <s v="14SNS-SN605SNSSNS-EX520-2451"/>
    <n v="1"/>
    <s v="Week III"/>
    <s v="M2W"/>
    <s v="SNS-EX520-245SNS"/>
    <x v="1"/>
    <x v="2"/>
    <x v="2"/>
    <x v="0"/>
  </r>
  <r>
    <x v="12"/>
    <x v="0"/>
    <s v="SNS-SN564"/>
    <s v="SNS-EX520-245"/>
    <s v="UCE_TJP"/>
    <n v="17"/>
    <n v="13.5"/>
    <n v="229.5"/>
    <s v="OB-PAF"/>
    <s v="M2W"/>
    <n v="2000"/>
    <s v="UCE_TJP"/>
    <n v="459000"/>
    <x v="0"/>
    <s v="14SNS-EX520-245SNSUCE_TJP1"/>
    <n v="0.16666666666666666"/>
    <s v="14SNS-SN564UCE_TJP1"/>
    <n v="1"/>
    <n v="459000"/>
    <s v="14SNS-SN564SNSSNS-EX520-2451"/>
    <n v="1"/>
    <s v="Week III"/>
    <s v="M2W"/>
    <s v="SNS-EX520-245SNS"/>
    <x v="0"/>
    <x v="2"/>
    <x v="2"/>
    <x v="0"/>
  </r>
  <r>
    <x v="12"/>
    <x v="0"/>
    <s v="SNS-SN559"/>
    <s v="SNS-EX520-245"/>
    <s v="UCE_TJP"/>
    <n v="16"/>
    <n v="13.5"/>
    <n v="216"/>
    <s v="OB-PAF"/>
    <s v="M2W"/>
    <n v="2000"/>
    <s v="UCE_TJP"/>
    <n v="432000"/>
    <x v="0"/>
    <s v="14SNS-EX520-245SNSUCE_TJP1"/>
    <n v="0.16666666666666666"/>
    <s v="14SNS-SN559UCE_TJP1"/>
    <n v="1"/>
    <n v="432000"/>
    <s v="14SNS-SN559SNSSNS-EX520-2451"/>
    <n v="1"/>
    <s v="Week III"/>
    <s v="M2W"/>
    <s v="SNS-EX520-245SNS"/>
    <x v="0"/>
    <x v="2"/>
    <x v="2"/>
    <x v="0"/>
  </r>
  <r>
    <x v="12"/>
    <x v="0"/>
    <s v="SNS-SN568"/>
    <s v="SNS-EX520-248"/>
    <s v="UCEX"/>
    <n v="22"/>
    <n v="13.5"/>
    <n v="297"/>
    <s v="OB-PAF"/>
    <s v="UEW_WEST"/>
    <n v="2000"/>
    <s v="PIT UCEX"/>
    <n v="594000"/>
    <x v="0"/>
    <s v="14SNS-EX520-248SNSPIT UCEX1"/>
    <n v="0.25"/>
    <s v="14SNS-SN568PIT UCEX1"/>
    <n v="1"/>
    <n v="594000"/>
    <s v="14SNS-SN568SNSSNS-EX520-2481"/>
    <n v="1"/>
    <s v="Week III"/>
    <s v="UEW"/>
    <s v="SNS-EX520-248SNS"/>
    <x v="0"/>
    <x v="1"/>
    <x v="1"/>
    <x v="0"/>
  </r>
  <r>
    <x v="12"/>
    <x v="0"/>
    <s v="SNS-SN569"/>
    <s v="SNS-EX520-248"/>
    <s v="UCEX"/>
    <n v="21"/>
    <n v="13.5"/>
    <n v="283.5"/>
    <s v="OB-PAF"/>
    <s v="UEW_WEST"/>
    <n v="2000"/>
    <s v="PIT UCEX"/>
    <n v="567000"/>
    <x v="0"/>
    <s v="14SNS-EX520-248SNSPIT UCEX1"/>
    <n v="0.25"/>
    <s v="14SNS-SN569PIT UCEX1"/>
    <n v="1"/>
    <n v="567000"/>
    <s v="14SNS-SN569SNSSNS-EX520-2481"/>
    <n v="1"/>
    <s v="Week III"/>
    <s v="UEW"/>
    <s v="SNS-EX520-248SNS"/>
    <x v="0"/>
    <x v="1"/>
    <x v="1"/>
    <x v="0"/>
  </r>
  <r>
    <x v="12"/>
    <x v="0"/>
    <s v="SNS-SN609"/>
    <s v="SNS-EX520-248"/>
    <s v="UCEX"/>
    <n v="22"/>
    <n v="13.5"/>
    <n v="297"/>
    <s v="OB-PAF"/>
    <s v="UEW_WEST"/>
    <n v="2000"/>
    <s v="PIT UCEX"/>
    <n v="594000"/>
    <x v="0"/>
    <s v="14SNS-EX520-248SNSPIT UCEX1"/>
    <n v="0.25"/>
    <s v="14SNS-SN609PIT UCEX1"/>
    <n v="1"/>
    <n v="594000"/>
    <s v="14SNS-SN609SNSSNS-EX520-2481"/>
    <n v="1"/>
    <s v="Week III"/>
    <s v="UEW"/>
    <s v="SNS-EX520-248SNS"/>
    <x v="0"/>
    <x v="1"/>
    <x v="1"/>
    <x v="0"/>
  </r>
  <r>
    <x v="12"/>
    <x v="0"/>
    <s v="SNS-SN604"/>
    <s v="SNS-EX520-248"/>
    <s v="UCEX"/>
    <n v="22"/>
    <n v="13.5"/>
    <n v="297"/>
    <s v="OB-PAF"/>
    <s v="UEW_WEST"/>
    <n v="2000"/>
    <s v="PIT UCEX"/>
    <n v="594000"/>
    <x v="0"/>
    <s v="14SNS-EX520-248SNSPIT UCEX1"/>
    <n v="0.25"/>
    <s v="14SNS-SN604PIT UCEX1"/>
    <n v="1"/>
    <n v="594000"/>
    <s v="14SNS-SN604SNSSNS-EX520-2481"/>
    <n v="1"/>
    <s v="Week III"/>
    <s v="UEW"/>
    <s v="SNS-EX520-248SNS"/>
    <x v="1"/>
    <x v="1"/>
    <x v="1"/>
    <x v="0"/>
  </r>
  <r>
    <x v="12"/>
    <x v="0"/>
    <s v="SNS-SN561"/>
    <s v="SNS-EX520-240"/>
    <s v="UCEX"/>
    <n v="24"/>
    <n v="13.5"/>
    <n v="324"/>
    <s v="OB-PAF"/>
    <s v="UEW_WEST"/>
    <n v="2000"/>
    <s v="PIT UCEX"/>
    <n v="648000"/>
    <x v="0"/>
    <s v="14SNS-EX520-240SNSPIT UCEX1"/>
    <n v="0.16666666666666666"/>
    <s v="14SNS-SN561PIT UCEX1"/>
    <n v="1"/>
    <n v="648000"/>
    <s v="14SNS-SN561SNSSNS-EX520-2401"/>
    <n v="1"/>
    <s v="Week III"/>
    <s v="UEW"/>
    <s v="SNS-EX520-240SNS"/>
    <x v="0"/>
    <x v="1"/>
    <x v="1"/>
    <x v="0"/>
  </r>
  <r>
    <x v="12"/>
    <x v="0"/>
    <s v="SNS-SN566"/>
    <s v="SNS-EX520-240"/>
    <s v="UCEX"/>
    <n v="23"/>
    <n v="13.5"/>
    <n v="310.5"/>
    <s v="OB-PAF"/>
    <s v="UEW_WEST"/>
    <n v="2000"/>
    <s v="PIT UCEX"/>
    <n v="621000"/>
    <x v="0"/>
    <s v="14SNS-EX520-240SNSPIT UCEX1"/>
    <n v="0.16666666666666666"/>
    <s v="14SNS-SN566PIT UCEX1"/>
    <n v="1"/>
    <n v="621000"/>
    <s v="14SNS-SN566SNSSNS-EX520-2401"/>
    <n v="1"/>
    <s v="Week III"/>
    <s v="UEW"/>
    <s v="SNS-EX520-240SNS"/>
    <x v="0"/>
    <x v="1"/>
    <x v="1"/>
    <x v="0"/>
  </r>
  <r>
    <x v="12"/>
    <x v="0"/>
    <s v="SNS-SN582"/>
    <s v="SNS-EX520-240"/>
    <s v="UCEX"/>
    <n v="10"/>
    <n v="13.5"/>
    <n v="135"/>
    <s v="OB-PAF"/>
    <s v="UEW_WEST"/>
    <n v="2000"/>
    <s v="PIT UCEX"/>
    <n v="270000"/>
    <x v="0"/>
    <s v="14SNS-EX520-240SNSPIT UCEX1"/>
    <n v="0.16666666666666666"/>
    <s v="14SNS-SN582PIT UCEX1"/>
    <n v="1"/>
    <n v="270000"/>
    <s v="14SNS-SN582SNSSNS-EX520-2401"/>
    <n v="1"/>
    <s v="Week III"/>
    <s v="UEW"/>
    <s v="SNS-EX520-240SNS"/>
    <x v="0"/>
    <x v="1"/>
    <x v="1"/>
    <x v="0"/>
  </r>
  <r>
    <x v="12"/>
    <x v="0"/>
    <s v="SNS-SN606"/>
    <s v="SNS-EX520-240"/>
    <s v="UCEX"/>
    <n v="9"/>
    <n v="13.5"/>
    <n v="121.5"/>
    <s v="OB-PAF"/>
    <s v="UEW_WEST"/>
    <n v="2000"/>
    <s v="PIT UCEX"/>
    <n v="243000"/>
    <x v="0"/>
    <s v="14SNS-EX520-240SNSPIT UCEX1"/>
    <n v="0.16666666666666666"/>
    <s v="14SNS-SN606PIT UCEX1"/>
    <n v="1"/>
    <n v="243000"/>
    <s v="14SNS-SN606SNSSNS-EX520-2401"/>
    <n v="1"/>
    <s v="Week III"/>
    <s v="UEW"/>
    <s v="SNS-EX520-240SNS"/>
    <x v="1"/>
    <x v="1"/>
    <x v="1"/>
    <x v="0"/>
  </r>
  <r>
    <x v="12"/>
    <x v="0"/>
    <s v="SNS-SN557"/>
    <s v="SNS-EX520-240"/>
    <s v="UCEX"/>
    <n v="22"/>
    <n v="13.5"/>
    <n v="297"/>
    <s v="OB-PAF"/>
    <s v="UEW_WEST"/>
    <n v="2000"/>
    <s v="PIT UCEX"/>
    <n v="594000"/>
    <x v="0"/>
    <s v="14SNS-EX520-240SNSPIT UCEX1"/>
    <n v="0.16666666666666666"/>
    <s v="14SNS-SN557PIT UCEX1"/>
    <n v="1"/>
    <n v="594000"/>
    <s v="14SNS-SN557SNSSNS-EX520-2401"/>
    <n v="1"/>
    <s v="Week III"/>
    <s v="UEW"/>
    <s v="SNS-EX520-240SNS"/>
    <x v="0"/>
    <x v="1"/>
    <x v="1"/>
    <x v="0"/>
  </r>
  <r>
    <x v="12"/>
    <x v="0"/>
    <s v="SNS-SN558"/>
    <s v="SNS-EX520-240"/>
    <s v="UCEX"/>
    <n v="19"/>
    <n v="13.5"/>
    <n v="256.5"/>
    <s v="OB-PAF"/>
    <s v="UEW_WEST"/>
    <n v="2000"/>
    <s v="PIT UCEX"/>
    <n v="513000"/>
    <x v="0"/>
    <s v="14SNS-EX520-240SNSPIT UCEX1"/>
    <n v="0.16666666666666666"/>
    <s v="14SNS-SN558PIT UCEX1"/>
    <n v="1"/>
    <n v="513000"/>
    <s v="14SNS-SN558SNSSNS-EX520-2401"/>
    <n v="1"/>
    <s v="Week III"/>
    <s v="UEW"/>
    <s v="SNS-EX520-240SNS"/>
    <x v="0"/>
    <x v="1"/>
    <x v="1"/>
    <x v="0"/>
  </r>
  <r>
    <x v="13"/>
    <x v="0"/>
    <s v="SNS-SN573"/>
    <s v="SNS-EX500-241"/>
    <s v="Channel_UCW"/>
    <n v="23"/>
    <n v="13.5"/>
    <n v="310.5"/>
    <s v="OB-PAF"/>
    <s v="UCW"/>
    <n v="2000"/>
    <s v="PIT UCW"/>
    <n v="621000"/>
    <x v="0"/>
    <s v="15SNS-EX500-241SNSPIT UCW1"/>
    <n v="0.16666666666666666"/>
    <s v="15SNS-SN573PIT UCW1"/>
    <n v="1"/>
    <n v="621000"/>
    <s v="15SNS-SN573SNSSNS-EX500-2411"/>
    <n v="1"/>
    <s v="Week III"/>
    <s v="UCW"/>
    <s v="SNS-EX500-241SNS"/>
    <x v="0"/>
    <x v="0"/>
    <x v="0"/>
    <x v="0"/>
  </r>
  <r>
    <x v="13"/>
    <x v="0"/>
    <s v="SNS-SN572"/>
    <s v="SNS-EX500-241"/>
    <s v="Channel_UCW"/>
    <n v="5"/>
    <n v="13.5"/>
    <n v="67.5"/>
    <s v="OB-PAF"/>
    <s v="UCW"/>
    <n v="2000"/>
    <s v="PIT UCW"/>
    <n v="135000"/>
    <x v="0"/>
    <s v="15SNS-EX500-241SNSPIT UCW1"/>
    <n v="0.16666666666666666"/>
    <s v="15SNS-SN572PIT UCW1"/>
    <n v="1"/>
    <n v="135000"/>
    <s v="15SNS-SN572SNSSNS-EX500-2411"/>
    <n v="1"/>
    <s v="Week III"/>
    <s v="UCW"/>
    <s v="SNS-EX500-241SNS"/>
    <x v="0"/>
    <x v="0"/>
    <x v="0"/>
    <x v="0"/>
  </r>
  <r>
    <x v="13"/>
    <x v="0"/>
    <s v="SNS-SN580"/>
    <s v="SNS-EX500-241"/>
    <s v="Channel_UCW"/>
    <n v="11"/>
    <n v="13.5"/>
    <n v="148.5"/>
    <s v="OB-PAF"/>
    <s v="UCW"/>
    <n v="2000"/>
    <s v="PIT UCW"/>
    <n v="297000"/>
    <x v="0"/>
    <s v="15SNS-EX500-241SNSPIT UCW1"/>
    <n v="0.16666666666666666"/>
    <s v="15SNS-SN580PIT UCW1"/>
    <n v="1"/>
    <n v="297000"/>
    <s v="15SNS-SN580SNSSNS-EX500-2411"/>
    <n v="1"/>
    <s v="Week III"/>
    <s v="UCW"/>
    <s v="SNS-EX500-241SNS"/>
    <x v="0"/>
    <x v="0"/>
    <x v="0"/>
    <x v="0"/>
  </r>
  <r>
    <x v="13"/>
    <x v="0"/>
    <s v="SNS-SN563"/>
    <s v="SNS-EX500-241"/>
    <s v="Channel_UCW"/>
    <n v="22"/>
    <n v="13.5"/>
    <n v="297"/>
    <s v="OB-PAF"/>
    <s v="UCW"/>
    <n v="2000"/>
    <s v="PIT UCW"/>
    <n v="594000"/>
    <x v="0"/>
    <s v="15SNS-EX500-241SNSPIT UCW1"/>
    <n v="0.16666666666666666"/>
    <s v="15SNS-SN563PIT UCW1"/>
    <n v="1"/>
    <n v="594000"/>
    <s v="15SNS-SN563SNSSNS-EX500-2411"/>
    <n v="1"/>
    <s v="Week III"/>
    <s v="UCW"/>
    <s v="SNS-EX500-241SNS"/>
    <x v="0"/>
    <x v="0"/>
    <x v="0"/>
    <x v="0"/>
  </r>
  <r>
    <x v="13"/>
    <x v="0"/>
    <s v="SNS-SN560"/>
    <s v="SNS-EX500-241"/>
    <s v="Channel_UCW"/>
    <n v="10"/>
    <n v="13.5"/>
    <n v="135"/>
    <s v="OB-PAF"/>
    <s v="UCW"/>
    <n v="2000"/>
    <s v="PIT UCW"/>
    <n v="270000"/>
    <x v="0"/>
    <s v="15SNS-EX500-241SNSPIT UCW1"/>
    <n v="0.16666666666666666"/>
    <s v="15SNS-SN560PIT UCW1"/>
    <n v="1"/>
    <n v="270000"/>
    <s v="15SNS-SN560SNSSNS-EX500-2411"/>
    <n v="1"/>
    <s v="Week III"/>
    <s v="UCW"/>
    <s v="SNS-EX500-241SNS"/>
    <x v="0"/>
    <x v="0"/>
    <x v="0"/>
    <x v="0"/>
  </r>
  <r>
    <x v="13"/>
    <x v="0"/>
    <s v="SNS-SN579"/>
    <s v="SNS-EX500-241"/>
    <s v="Channel_UCW"/>
    <n v="21"/>
    <n v="13.5"/>
    <n v="283.5"/>
    <s v="OB-PAF"/>
    <s v="UCW"/>
    <n v="2000"/>
    <s v="PIT UCW"/>
    <n v="567000"/>
    <x v="0"/>
    <s v="15SNS-EX500-241SNSPIT UCW1"/>
    <n v="0.16666666666666666"/>
    <s v="15SNS-SN579PIT UCW1"/>
    <n v="1"/>
    <n v="567000"/>
    <s v="15SNS-SN579SNSSNS-EX500-2411"/>
    <n v="1"/>
    <s v="Week III"/>
    <s v="UCW"/>
    <s v="SNS-EX500-241SNS"/>
    <x v="0"/>
    <x v="0"/>
    <x v="0"/>
    <x v="0"/>
  </r>
  <r>
    <x v="13"/>
    <x v="0"/>
    <s v="SNS-SN569"/>
    <s v="SNS-EX520-248"/>
    <s v="UCEX"/>
    <n v="14"/>
    <n v="13.5"/>
    <n v="189"/>
    <s v="OB-PAF"/>
    <s v="UEW_WEST"/>
    <n v="2000"/>
    <s v="PIT UCEX"/>
    <n v="378000"/>
    <x v="0"/>
    <s v="15SNS-EX520-248SNSPIT UCEX1"/>
    <n v="0.2"/>
    <s v="15SNS-SN569PIT UCEX1"/>
    <n v="1"/>
    <n v="378000"/>
    <s v="15SNS-SN569SNSSNS-EX520-2481"/>
    <n v="1"/>
    <s v="Week III"/>
    <s v="UEW"/>
    <s v="SNS-EX520-248SNS"/>
    <x v="0"/>
    <x v="1"/>
    <x v="1"/>
    <x v="0"/>
  </r>
  <r>
    <x v="13"/>
    <x v="0"/>
    <s v="SNS-SN606"/>
    <s v="SNS-EX520-248"/>
    <s v="UCEX"/>
    <n v="12"/>
    <n v="13.5"/>
    <n v="162"/>
    <s v="OB-PAF"/>
    <s v="UEW_WEST"/>
    <n v="2000"/>
    <s v="PIT UCEX"/>
    <n v="324000"/>
    <x v="0"/>
    <s v="15SNS-EX520-248SNSPIT UCEX1"/>
    <n v="0.2"/>
    <s v="15SNS-SN606PIT UCEX1"/>
    <n v="1"/>
    <n v="324000"/>
    <s v="15SNS-SN606SNSSNS-EX520-2481"/>
    <n v="1"/>
    <s v="Week III"/>
    <s v="UEW"/>
    <s v="SNS-EX520-248SNS"/>
    <x v="1"/>
    <x v="1"/>
    <x v="1"/>
    <x v="0"/>
  </r>
  <r>
    <x v="13"/>
    <x v="0"/>
    <s v="SNS-SN568"/>
    <s v="SNS-EX520-248"/>
    <s v="UCEX"/>
    <n v="10"/>
    <n v="13.5"/>
    <n v="135"/>
    <s v="OB-PAF"/>
    <s v="UEW_WEST"/>
    <n v="2000"/>
    <s v="PIT UCEX"/>
    <n v="270000"/>
    <x v="0"/>
    <s v="15SNS-EX520-248SNSPIT UCEX1"/>
    <n v="0.2"/>
    <s v="15SNS-SN568PIT UCEX1"/>
    <n v="1"/>
    <n v="270000"/>
    <s v="15SNS-SN568SNSSNS-EX520-2481"/>
    <n v="1"/>
    <s v="Week III"/>
    <s v="UEW"/>
    <s v="SNS-EX520-248SNS"/>
    <x v="0"/>
    <x v="1"/>
    <x v="1"/>
    <x v="0"/>
  </r>
  <r>
    <x v="13"/>
    <x v="0"/>
    <s v="SNS-SN558"/>
    <s v="SNS-EX520-248"/>
    <s v="UCEX"/>
    <n v="11"/>
    <n v="13.5"/>
    <n v="148.5"/>
    <s v="OB-PAF"/>
    <s v="UEW_WEST"/>
    <n v="2000"/>
    <s v="PIT UCEX"/>
    <n v="297000"/>
    <x v="0"/>
    <s v="15SNS-EX520-248SNSPIT UCEX1"/>
    <n v="0.2"/>
    <s v="15SNS-SN558PIT UCEX1"/>
    <n v="1"/>
    <n v="297000"/>
    <s v="15SNS-SN558SNSSNS-EX520-2481"/>
    <n v="1"/>
    <s v="Week III"/>
    <s v="UEW"/>
    <s v="SNS-EX520-248SNS"/>
    <x v="0"/>
    <x v="1"/>
    <x v="1"/>
    <x v="0"/>
  </r>
  <r>
    <x v="13"/>
    <x v="0"/>
    <s v="SNS-SN604"/>
    <s v="SNS-EX520-248"/>
    <s v="UCEX"/>
    <n v="13"/>
    <n v="13.5"/>
    <n v="175.5"/>
    <s v="OB-PAF"/>
    <s v="UEW_WEST"/>
    <n v="2000"/>
    <s v="PIT UCEX"/>
    <n v="351000"/>
    <x v="0"/>
    <s v="15SNS-EX520-248SNSPIT UCEX1"/>
    <n v="0.2"/>
    <s v="15SNS-SN604PIT UCEX1"/>
    <n v="1"/>
    <n v="351000"/>
    <s v="15SNS-SN604SNSSNS-EX520-2481"/>
    <n v="1"/>
    <s v="Week III"/>
    <s v="UEW"/>
    <s v="SNS-EX520-248SNS"/>
    <x v="1"/>
    <x v="1"/>
    <x v="1"/>
    <x v="0"/>
  </r>
  <r>
    <x v="13"/>
    <x v="0"/>
    <s v="SNS-SN608"/>
    <s v="SNS-EX520-245"/>
    <s v="UCE_TJP"/>
    <n v="18"/>
    <n v="13.5"/>
    <n v="243"/>
    <s v="OB-PAF"/>
    <s v="M2W"/>
    <n v="2000"/>
    <s v="UCE_TJP"/>
    <n v="486000"/>
    <x v="0"/>
    <s v="15SNS-EX520-245SNSUCE_TJP1"/>
    <n v="0.25"/>
    <s v="15SNS-SN608UCE_TJP1"/>
    <n v="1"/>
    <n v="486000"/>
    <s v="15SNS-SN608SNSSNS-EX520-2451"/>
    <n v="1"/>
    <s v="Week III"/>
    <s v="M2W"/>
    <s v="SNS-EX520-245SNS"/>
    <x v="0"/>
    <x v="2"/>
    <x v="2"/>
    <x v="0"/>
  </r>
  <r>
    <x v="13"/>
    <x v="0"/>
    <s v="SNS-SN524"/>
    <s v="SNS-EX520-245"/>
    <s v="UCE_TJP"/>
    <n v="17"/>
    <n v="13.5"/>
    <n v="229.5"/>
    <s v="OB-PAF"/>
    <s v="M2W"/>
    <n v="2000"/>
    <s v="UCE_TJP"/>
    <n v="459000"/>
    <x v="0"/>
    <s v="15SNS-EX520-245SNSUCE_TJP1"/>
    <n v="0.25"/>
    <s v="15SNS-SN524UCE_TJP1"/>
    <n v="1"/>
    <n v="459000"/>
    <s v="15SNS-SN524SNSSNS-EX520-2451"/>
    <n v="1"/>
    <s v="Week III"/>
    <s v="M2W"/>
    <s v="SNS-EX520-245SNS"/>
    <x v="0"/>
    <x v="2"/>
    <x v="2"/>
    <x v="0"/>
  </r>
  <r>
    <x v="13"/>
    <x v="0"/>
    <s v="SNS-SN559"/>
    <s v="SNS-EX520-245"/>
    <s v="UCE_TJP"/>
    <n v="18"/>
    <n v="13.5"/>
    <n v="243"/>
    <s v="OB-PAF"/>
    <s v="M2W"/>
    <n v="2000"/>
    <s v="UCE_TJP"/>
    <n v="486000"/>
    <x v="0"/>
    <s v="15SNS-EX520-245SNSUCE_TJP1"/>
    <n v="0.25"/>
    <s v="15SNS-SN559UCE_TJP1"/>
    <n v="1"/>
    <n v="486000"/>
    <s v="15SNS-SN559SNSSNS-EX520-2451"/>
    <n v="1"/>
    <s v="Week III"/>
    <s v="M2W"/>
    <s v="SNS-EX520-245SNS"/>
    <x v="0"/>
    <x v="2"/>
    <x v="2"/>
    <x v="0"/>
  </r>
  <r>
    <x v="13"/>
    <x v="0"/>
    <s v="SNS-SN564"/>
    <s v="SNS-EX520-245"/>
    <s v="UCE_TJP"/>
    <n v="16"/>
    <n v="13.5"/>
    <n v="216"/>
    <s v="OB-PAF"/>
    <s v="M2W"/>
    <n v="2000"/>
    <s v="UCE_TJP"/>
    <n v="432000"/>
    <x v="0"/>
    <s v="15SNS-EX520-245SNSUCE_TJP1"/>
    <n v="0.25"/>
    <s v="15SNS-SN564UCE_TJP1"/>
    <n v="1"/>
    <n v="432000"/>
    <s v="15SNS-SN564SNSSNS-EX520-2451"/>
    <n v="1"/>
    <s v="Week III"/>
    <s v="M2W"/>
    <s v="SNS-EX520-245SNS"/>
    <x v="0"/>
    <x v="2"/>
    <x v="2"/>
    <x v="0"/>
  </r>
  <r>
    <x v="13"/>
    <x v="0"/>
    <s v="SNS-SN557"/>
    <s v="SNS-EX520-240"/>
    <s v="UCEX"/>
    <n v="4"/>
    <n v="13.5"/>
    <n v="54"/>
    <s v="OB-PAF"/>
    <s v="UEW_WEST"/>
    <n v="2000"/>
    <s v="PIT UCEX"/>
    <n v="108000"/>
    <x v="0"/>
    <s v="15SNS-EX520-240SNSPIT UCEX1"/>
    <n v="0.14285714285714285"/>
    <s v="15SNS-SN557PIT UCEX1"/>
    <n v="1"/>
    <n v="108000"/>
    <s v="15SNS-SN557SNSSNS-EX520-2401"/>
    <n v="1"/>
    <s v="Week III"/>
    <s v="UEW"/>
    <s v="SNS-EX520-240SNS"/>
    <x v="0"/>
    <x v="1"/>
    <x v="1"/>
    <x v="0"/>
  </r>
  <r>
    <x v="13"/>
    <x v="0"/>
    <s v="SNS-SN605"/>
    <s v="SNS-EX520-240"/>
    <s v="UCEX"/>
    <n v="10"/>
    <n v="13.5"/>
    <n v="135"/>
    <s v="OB-PAF"/>
    <s v="UEW_WEST"/>
    <n v="2000"/>
    <s v="PIT UCEX"/>
    <n v="270000"/>
    <x v="0"/>
    <s v="15SNS-EX520-240SNSPIT UCEX1"/>
    <n v="0.14285714285714285"/>
    <s v="15SNS-SN605PIT UCEX1"/>
    <n v="1"/>
    <n v="270000"/>
    <s v="15SNS-SN605SNSSNS-EX520-2401"/>
    <n v="1"/>
    <s v="Week III"/>
    <s v="UEW"/>
    <s v="SNS-EX520-240SNS"/>
    <x v="1"/>
    <x v="1"/>
    <x v="1"/>
    <x v="0"/>
  </r>
  <r>
    <x v="13"/>
    <x v="0"/>
    <s v="SNS-SN566"/>
    <s v="SNS-EX520-240"/>
    <s v="UCEX"/>
    <n v="13"/>
    <n v="13.5"/>
    <n v="175.5"/>
    <s v="OB-PAF"/>
    <s v="UEW_WEST"/>
    <n v="2000"/>
    <s v="PIT UCEX"/>
    <n v="351000"/>
    <x v="0"/>
    <s v="15SNS-EX520-240SNSPIT UCEX1"/>
    <n v="0.14285714285714285"/>
    <s v="15SNS-SN566PIT UCEX1"/>
    <n v="1"/>
    <n v="351000"/>
    <s v="15SNS-SN566SNSSNS-EX520-2401"/>
    <n v="1"/>
    <s v="Week III"/>
    <s v="UEW"/>
    <s v="SNS-EX520-240SNS"/>
    <x v="0"/>
    <x v="1"/>
    <x v="1"/>
    <x v="0"/>
  </r>
  <r>
    <x v="13"/>
    <x v="0"/>
    <s v="SNS-SN609"/>
    <s v="SNS-EX520-240"/>
    <s v="UCEX"/>
    <n v="15"/>
    <n v="13.5"/>
    <n v="202.5"/>
    <s v="OB-PAF"/>
    <s v="UEW_WEST"/>
    <n v="2000"/>
    <s v="PIT UCEX"/>
    <n v="405000"/>
    <x v="0"/>
    <s v="15SNS-EX520-240SNSPIT UCEX1"/>
    <n v="0.14285714285714285"/>
    <s v="15SNS-SN609PIT UCEX1"/>
    <n v="1"/>
    <n v="405000"/>
    <s v="15SNS-SN609SNSSNS-EX520-2401"/>
    <n v="1"/>
    <s v="Week III"/>
    <s v="UEW"/>
    <s v="SNS-EX520-240SNS"/>
    <x v="0"/>
    <x v="1"/>
    <x v="1"/>
    <x v="0"/>
  </r>
  <r>
    <x v="13"/>
    <x v="0"/>
    <s v="SNS-SN574"/>
    <s v="SNS-EX520-240"/>
    <s v="UCEX"/>
    <n v="1"/>
    <n v="13.5"/>
    <n v="13.5"/>
    <s v="OB-PAF"/>
    <s v="UEW_WEST"/>
    <n v="2000"/>
    <s v="PIT UCEX"/>
    <n v="27000"/>
    <x v="0"/>
    <s v="15SNS-EX520-240SNSPIT UCEX1"/>
    <n v="0.14285714285714285"/>
    <s v="15SNS-SN574PIT UCEX1"/>
    <n v="1"/>
    <n v="27000"/>
    <s v="15SNS-SN574SNSSNS-EX520-2401"/>
    <n v="1"/>
    <s v="Week III"/>
    <s v="UEW"/>
    <s v="SNS-EX520-240SNS"/>
    <x v="0"/>
    <x v="1"/>
    <x v="1"/>
    <x v="0"/>
  </r>
  <r>
    <x v="13"/>
    <x v="0"/>
    <s v="SNS-SN582"/>
    <s v="SNS-EX520-240"/>
    <s v="UCEX"/>
    <n v="14"/>
    <n v="13.5"/>
    <n v="189"/>
    <s v="OB-PAF"/>
    <s v="UEW_WEST"/>
    <n v="2000"/>
    <s v="PIT UCEX"/>
    <n v="378000"/>
    <x v="0"/>
    <s v="15SNS-EX520-240SNSPIT UCEX1"/>
    <n v="0.14285714285714285"/>
    <s v="15SNS-SN582PIT UCEX1"/>
    <n v="1"/>
    <n v="378000"/>
    <s v="15SNS-SN582SNSSNS-EX520-2401"/>
    <n v="1"/>
    <s v="Week III"/>
    <s v="UEW"/>
    <s v="SNS-EX520-240SNS"/>
    <x v="0"/>
    <x v="1"/>
    <x v="1"/>
    <x v="0"/>
  </r>
  <r>
    <x v="13"/>
    <x v="0"/>
    <s v="SNS-SN561"/>
    <s v="SNS-EX520-240"/>
    <s v="UCEX"/>
    <n v="15"/>
    <n v="13.5"/>
    <n v="202.5"/>
    <s v="OB-PAF"/>
    <s v="UEW_WEST"/>
    <n v="2000"/>
    <s v="PIT UCEX"/>
    <n v="405000"/>
    <x v="0"/>
    <s v="15SNS-EX520-240SNSPIT UCEX1"/>
    <n v="0.14285714285714285"/>
    <s v="15SNS-SN561PIT UCEX1"/>
    <n v="1"/>
    <n v="405000"/>
    <s v="15SNS-SN561SNSSNS-EX520-2401"/>
    <n v="1"/>
    <s v="Week III"/>
    <s v="UEW"/>
    <s v="SNS-EX520-240SNS"/>
    <x v="0"/>
    <x v="1"/>
    <x v="1"/>
    <x v="0"/>
  </r>
  <r>
    <x v="14"/>
    <x v="0"/>
    <s v="SNS-SN574"/>
    <s v="SNS-EX520-245"/>
    <s v="UCE_TJP"/>
    <n v="6"/>
    <n v="13.5"/>
    <n v="81"/>
    <s v="OB-PAF"/>
    <s v="M2W"/>
    <n v="2000"/>
    <s v="UCE_TJP"/>
    <n v="162000"/>
    <x v="0"/>
    <s v="16SNS-EX520-245SNSUCE_TJP1"/>
    <n v="0.25"/>
    <s v="16SNS-SN574UCE_TJP1"/>
    <n v="1"/>
    <n v="162000"/>
    <s v="16SNS-SN574SNSSNS-EX520-2451"/>
    <n v="1"/>
    <s v="Week III"/>
    <s v="M2W"/>
    <s v="SNS-EX520-245SNS"/>
    <x v="0"/>
    <x v="2"/>
    <x v="2"/>
    <x v="0"/>
  </r>
  <r>
    <x v="14"/>
    <x v="0"/>
    <s v="SNS-SN608"/>
    <s v="SNS-EX520-245"/>
    <s v="UCE_TJP"/>
    <n v="6"/>
    <n v="13.5"/>
    <n v="81"/>
    <s v="OB-PAF"/>
    <s v="M2W"/>
    <n v="2000"/>
    <s v="UCE_TJP"/>
    <n v="162000"/>
    <x v="0"/>
    <s v="16SNS-EX520-245SNSUCE_TJP1"/>
    <n v="0.25"/>
    <s v="16SNS-SN608UCE_TJP1"/>
    <n v="1"/>
    <n v="162000"/>
    <s v="16SNS-SN608SNSSNS-EX520-2451"/>
    <n v="1"/>
    <s v="Week III"/>
    <s v="M2W"/>
    <s v="SNS-EX520-245SNS"/>
    <x v="0"/>
    <x v="2"/>
    <x v="2"/>
    <x v="0"/>
  </r>
  <r>
    <x v="14"/>
    <x v="0"/>
    <s v="SNS-SN564"/>
    <s v="SNS-EX520-245"/>
    <s v="UCE_TJP"/>
    <n v="6"/>
    <n v="13.5"/>
    <n v="81"/>
    <s v="OB-PAF"/>
    <s v="M2W"/>
    <n v="2000"/>
    <s v="UCE_TJP"/>
    <n v="162000"/>
    <x v="0"/>
    <s v="16SNS-EX520-245SNSUCE_TJP1"/>
    <n v="0.25"/>
    <s v="16SNS-SN564UCE_TJP1"/>
    <n v="1"/>
    <n v="162000"/>
    <s v="16SNS-SN564SNSSNS-EX520-2451"/>
    <n v="1"/>
    <s v="Week III"/>
    <s v="M2W"/>
    <s v="SNS-EX520-245SNS"/>
    <x v="0"/>
    <x v="2"/>
    <x v="2"/>
    <x v="0"/>
  </r>
  <r>
    <x v="14"/>
    <x v="0"/>
    <s v="SNS-SN559"/>
    <s v="SNS-EX520-245"/>
    <s v="UCE_TJP"/>
    <n v="6"/>
    <n v="13.5"/>
    <n v="81"/>
    <s v="OB-PAF"/>
    <s v="M2W"/>
    <n v="2000"/>
    <s v="UCE_TJP"/>
    <n v="162000"/>
    <x v="0"/>
    <s v="16SNS-EX520-245SNSUCE_TJP1"/>
    <n v="0.25"/>
    <s v="16SNS-SN559UCE_TJP1"/>
    <n v="1"/>
    <n v="162000"/>
    <s v="16SNS-SN559SNSSNS-EX520-2451"/>
    <n v="1"/>
    <s v="Week III"/>
    <s v="M2W"/>
    <s v="SNS-EX520-245SNS"/>
    <x v="0"/>
    <x v="2"/>
    <x v="2"/>
    <x v="0"/>
  </r>
  <r>
    <x v="14"/>
    <x v="0"/>
    <s v="SNS-SN609"/>
    <s v="SNS-EX520-239"/>
    <s v="UCEX"/>
    <n v="10"/>
    <n v="13.5"/>
    <n v="135"/>
    <s v="OB-PAF"/>
    <s v="UEW_WEST"/>
    <n v="2000"/>
    <s v="PIT UCEX"/>
    <n v="270000"/>
    <x v="0"/>
    <s v="16SNS-EX520-239SNSPIT UCEX1"/>
    <n v="0.2"/>
    <s v="16SNS-SN609PIT UCEX1"/>
    <n v="1"/>
    <n v="270000"/>
    <s v="16SNS-SN609SNSSNS-EX520-2391"/>
    <n v="1"/>
    <s v="Week III"/>
    <s v="UEW"/>
    <s v="SNS-EX520-239SNS"/>
    <x v="0"/>
    <x v="1"/>
    <x v="1"/>
    <x v="0"/>
  </r>
  <r>
    <x v="14"/>
    <x v="0"/>
    <s v="SNS-SN569"/>
    <s v="SNS-EX520-239"/>
    <s v="UCEX"/>
    <n v="10"/>
    <n v="13.5"/>
    <n v="135"/>
    <s v="OB-PAF"/>
    <s v="UEW_WEST"/>
    <n v="2000"/>
    <s v="PIT UCEX"/>
    <n v="270000"/>
    <x v="0"/>
    <s v="16SNS-EX520-239SNSPIT UCEX1"/>
    <n v="0.2"/>
    <s v="16SNS-SN569PIT UCEX1"/>
    <n v="1"/>
    <n v="270000"/>
    <s v="16SNS-SN569SNSSNS-EX520-2391"/>
    <n v="1"/>
    <s v="Week III"/>
    <s v="UEW"/>
    <s v="SNS-EX520-239SNS"/>
    <x v="0"/>
    <x v="1"/>
    <x v="1"/>
    <x v="0"/>
  </r>
  <r>
    <x v="14"/>
    <x v="0"/>
    <s v="SNS-SN606"/>
    <s v="SNS-EX520-239"/>
    <s v="UCEX"/>
    <n v="10"/>
    <n v="13.5"/>
    <n v="135"/>
    <s v="OB-PAF"/>
    <s v="UEW_WEST"/>
    <n v="2000"/>
    <s v="PIT UCEX"/>
    <n v="270000"/>
    <x v="0"/>
    <s v="16SNS-EX520-239SNSPIT UCEX1"/>
    <n v="0.2"/>
    <s v="16SNS-SN606PIT UCEX1"/>
    <n v="1"/>
    <n v="270000"/>
    <s v="16SNS-SN606SNSSNS-EX520-2391"/>
    <n v="1"/>
    <s v="Week III"/>
    <s v="UEW"/>
    <s v="SNS-EX520-239SNS"/>
    <x v="1"/>
    <x v="1"/>
    <x v="1"/>
    <x v="0"/>
  </r>
  <r>
    <x v="14"/>
    <x v="0"/>
    <s v="SNS-SN558"/>
    <s v="SNS-EX520-239"/>
    <s v="UCEX"/>
    <n v="8"/>
    <n v="13.5"/>
    <n v="108"/>
    <s v="OB-PAF"/>
    <s v="UEW_WEST"/>
    <n v="2000"/>
    <s v="PIT UCEX"/>
    <n v="216000"/>
    <x v="0"/>
    <s v="16SNS-EX520-239SNSPIT UCEX1"/>
    <n v="0.2"/>
    <s v="16SNS-SN558PIT UCEX1"/>
    <n v="1"/>
    <n v="216000"/>
    <s v="16SNS-SN558SNSSNS-EX520-2391"/>
    <n v="1"/>
    <s v="Week III"/>
    <s v="UEW"/>
    <s v="SNS-EX520-239SNS"/>
    <x v="0"/>
    <x v="1"/>
    <x v="1"/>
    <x v="0"/>
  </r>
  <r>
    <x v="14"/>
    <x v="0"/>
    <s v="SNS-SN567"/>
    <s v="SNS-EX520-239"/>
    <s v="UCEX"/>
    <n v="6"/>
    <n v="13.5"/>
    <n v="81"/>
    <s v="OB-PAF"/>
    <s v="UEW_WEST"/>
    <n v="2000"/>
    <s v="PIT UCEX"/>
    <n v="162000"/>
    <x v="0"/>
    <s v="16SNS-EX520-239SNSPIT UCEX1"/>
    <n v="0.2"/>
    <s v="16SNS-SN567PIT UCEX1"/>
    <n v="1"/>
    <n v="162000"/>
    <s v="16SNS-SN567SNSSNS-EX520-2391"/>
    <n v="1"/>
    <s v="Week III"/>
    <s v="UEW"/>
    <s v="SNS-EX520-239SNS"/>
    <x v="0"/>
    <x v="1"/>
    <x v="1"/>
    <x v="0"/>
  </r>
  <r>
    <x v="14"/>
    <x v="0"/>
    <s v="SNS-SN566"/>
    <s v="SNS-EX520-240"/>
    <s v="UCEX"/>
    <n v="9"/>
    <n v="13.5"/>
    <n v="121.5"/>
    <s v="OB-PAF"/>
    <s v="UEW_WEST"/>
    <n v="2000"/>
    <s v="PIT UCEX"/>
    <n v="243000"/>
    <x v="0"/>
    <s v="16SNS-EX520-240SNSPIT UCEX1"/>
    <n v="0.2"/>
    <s v="16SNS-SN566PIT UCEX1"/>
    <n v="1"/>
    <n v="243000"/>
    <s v="16SNS-SN566SNSSNS-EX520-2401"/>
    <n v="1"/>
    <s v="Week III"/>
    <s v="UEW"/>
    <s v="SNS-EX520-240SNS"/>
    <x v="0"/>
    <x v="1"/>
    <x v="1"/>
    <x v="0"/>
  </r>
  <r>
    <x v="14"/>
    <x v="0"/>
    <s v="SNS-SN561"/>
    <s v="SNS-EX520-240"/>
    <s v="UCEX"/>
    <n v="9"/>
    <n v="13.5"/>
    <n v="121.5"/>
    <s v="OB-PAF"/>
    <s v="UEW_WEST"/>
    <n v="2000"/>
    <s v="PIT UCEX"/>
    <n v="243000"/>
    <x v="0"/>
    <s v="16SNS-EX520-240SNSPIT UCEX1"/>
    <n v="0.2"/>
    <s v="16SNS-SN561PIT UCEX1"/>
    <n v="1"/>
    <n v="243000"/>
    <s v="16SNS-SN561SNSSNS-EX520-2401"/>
    <n v="1"/>
    <s v="Week III"/>
    <s v="UEW"/>
    <s v="SNS-EX520-240SNS"/>
    <x v="0"/>
    <x v="1"/>
    <x v="1"/>
    <x v="0"/>
  </r>
  <r>
    <x v="14"/>
    <x v="0"/>
    <s v="SNS-SN605"/>
    <s v="SNS-EX520-240"/>
    <s v="UCEX"/>
    <n v="9"/>
    <n v="13.5"/>
    <n v="121.5"/>
    <s v="OB-PAF"/>
    <s v="UEW_WEST"/>
    <n v="2000"/>
    <s v="PIT UCEX"/>
    <n v="243000"/>
    <x v="0"/>
    <s v="16SNS-EX520-240SNSPIT UCEX1"/>
    <n v="0.2"/>
    <s v="16SNS-SN605PIT UCEX1"/>
    <n v="1"/>
    <n v="243000"/>
    <s v="16SNS-SN605SNSSNS-EX520-2401"/>
    <n v="1"/>
    <s v="Week III"/>
    <s v="UEW"/>
    <s v="SNS-EX520-240SNS"/>
    <x v="1"/>
    <x v="1"/>
    <x v="1"/>
    <x v="0"/>
  </r>
  <r>
    <x v="14"/>
    <x v="0"/>
    <s v="SNS-SN604"/>
    <s v="SNS-EX520-240"/>
    <s v="UCEX"/>
    <n v="8"/>
    <n v="13.5"/>
    <n v="108"/>
    <s v="OB-PAF"/>
    <s v="UEW_WEST"/>
    <n v="2000"/>
    <s v="PIT UCEX"/>
    <n v="216000"/>
    <x v="0"/>
    <s v="16SNS-EX520-240SNSPIT UCEX1"/>
    <n v="0.2"/>
    <s v="16SNS-SN604PIT UCEX1"/>
    <n v="1"/>
    <n v="216000"/>
    <s v="16SNS-SN604SNSSNS-EX520-2401"/>
    <n v="1"/>
    <s v="Week III"/>
    <s v="UEW"/>
    <s v="SNS-EX520-240SNS"/>
    <x v="1"/>
    <x v="1"/>
    <x v="1"/>
    <x v="0"/>
  </r>
  <r>
    <x v="14"/>
    <x v="0"/>
    <s v="SNS-SN582"/>
    <s v="SNS-EX520-240"/>
    <s v="UCEX"/>
    <n v="8"/>
    <n v="13.5"/>
    <n v="108"/>
    <s v="OB-PAF"/>
    <s v="UEW_WEST"/>
    <n v="2000"/>
    <s v="PIT UCEX"/>
    <n v="216000"/>
    <x v="0"/>
    <s v="16SNS-EX520-240SNSPIT UCEX1"/>
    <n v="0.2"/>
    <s v="16SNS-SN582PIT UCEX1"/>
    <n v="1"/>
    <n v="216000"/>
    <s v="16SNS-SN582SNSSNS-EX520-2401"/>
    <n v="1"/>
    <s v="Week III"/>
    <s v="UEW"/>
    <s v="SNS-EX520-240SNS"/>
    <x v="0"/>
    <x v="1"/>
    <x v="1"/>
    <x v="0"/>
  </r>
  <r>
    <x v="14"/>
    <x v="0"/>
    <s v="SNS-SN573"/>
    <s v="SNS-EX500-241"/>
    <s v="Channel_UCW"/>
    <n v="10"/>
    <n v="13.5"/>
    <n v="135"/>
    <s v="OB-PAF"/>
    <s v="UCW"/>
    <n v="2000"/>
    <s v="PIT UCW"/>
    <n v="270000"/>
    <x v="0"/>
    <s v="16SNS-EX500-241SNSPIT UCW1"/>
    <n v="0.25"/>
    <s v="16SNS-SN573PIT UCW1"/>
    <n v="1"/>
    <n v="270000"/>
    <s v="16SNS-SN573SNSSNS-EX500-2411"/>
    <n v="1"/>
    <s v="Week III"/>
    <s v="UCW"/>
    <s v="SNS-EX500-241SNS"/>
    <x v="0"/>
    <x v="0"/>
    <x v="0"/>
    <x v="0"/>
  </r>
  <r>
    <x v="14"/>
    <x v="0"/>
    <s v="SNS-SN572"/>
    <s v="SNS-EX500-241"/>
    <s v="Channel_UCW"/>
    <n v="10"/>
    <n v="13.5"/>
    <n v="135"/>
    <s v="OB-PAF"/>
    <s v="UCW"/>
    <n v="2000"/>
    <s v="PIT UCW"/>
    <n v="270000"/>
    <x v="0"/>
    <s v="16SNS-EX500-241SNSPIT UCW1"/>
    <n v="0.25"/>
    <s v="16SNS-SN572PIT UCW1"/>
    <n v="1"/>
    <n v="270000"/>
    <s v="16SNS-SN572SNSSNS-EX500-2411"/>
    <n v="1"/>
    <s v="Week III"/>
    <s v="UCW"/>
    <s v="SNS-EX500-241SNS"/>
    <x v="0"/>
    <x v="0"/>
    <x v="0"/>
    <x v="0"/>
  </r>
  <r>
    <x v="14"/>
    <x v="0"/>
    <s v="SNS-SN579"/>
    <s v="SNS-EX500-241"/>
    <s v="Channel_UCW"/>
    <n v="10"/>
    <n v="13.5"/>
    <n v="135"/>
    <s v="OB-PAF"/>
    <s v="UCW"/>
    <n v="2000"/>
    <s v="PIT UCW"/>
    <n v="270000"/>
    <x v="0"/>
    <s v="16SNS-EX500-241SNSPIT UCW1"/>
    <n v="0.25"/>
    <s v="16SNS-SN579PIT UCW1"/>
    <n v="1"/>
    <n v="270000"/>
    <s v="16SNS-SN579SNSSNS-EX500-2411"/>
    <n v="1"/>
    <s v="Week III"/>
    <s v="UCW"/>
    <s v="SNS-EX500-241SNS"/>
    <x v="0"/>
    <x v="0"/>
    <x v="0"/>
    <x v="0"/>
  </r>
  <r>
    <x v="14"/>
    <x v="0"/>
    <s v="SNS-SN563"/>
    <s v="SNS-EX500-241"/>
    <s v="Channel_UCW"/>
    <n v="10"/>
    <n v="13.5"/>
    <n v="135"/>
    <s v="OB-PAF"/>
    <s v="UCW"/>
    <n v="2000"/>
    <s v="PIT UCW"/>
    <n v="270000"/>
    <x v="0"/>
    <s v="16SNS-EX500-241SNSPIT UCW1"/>
    <n v="0.25"/>
    <s v="16SNS-SN563PIT UCW1"/>
    <n v="1"/>
    <n v="270000"/>
    <s v="16SNS-SN563SNSSNS-EX500-2411"/>
    <n v="1"/>
    <s v="Week III"/>
    <s v="UCW"/>
    <s v="SNS-EX500-241SNS"/>
    <x v="0"/>
    <x v="0"/>
    <x v="0"/>
    <x v="0"/>
  </r>
  <r>
    <x v="15"/>
    <x v="0"/>
    <s v="SNS-SN579"/>
    <s v="SNS-EX500-241"/>
    <s v="Channel_UCW"/>
    <n v="20"/>
    <n v="13.5"/>
    <n v="270"/>
    <s v="OB-PAF"/>
    <s v="UCW"/>
    <n v="2000"/>
    <s v="PIT UCW"/>
    <n v="540000"/>
    <x v="0"/>
    <s v="17SNS-EX500-241SNSPIT UCW1"/>
    <n v="0.2"/>
    <s v="17SNS-SN579PIT UCW1"/>
    <n v="1"/>
    <n v="540000"/>
    <s v="17SNS-SN579SNSSNS-EX500-2411"/>
    <n v="1"/>
    <s v="Week III"/>
    <s v="UCW"/>
    <s v="SNS-EX500-241SNS"/>
    <x v="0"/>
    <x v="0"/>
    <x v="0"/>
    <x v="0"/>
  </r>
  <r>
    <x v="15"/>
    <x v="0"/>
    <s v="SNS-SN603"/>
    <s v="SNS-EX500-241"/>
    <s v="Channel_UCW"/>
    <n v="19"/>
    <n v="13.5"/>
    <n v="256.5"/>
    <s v="OB-PAF"/>
    <s v="UCW"/>
    <n v="2000"/>
    <s v="PIT UCW"/>
    <n v="513000"/>
    <x v="0"/>
    <s v="17SNS-EX500-241SNSPIT UCW1"/>
    <n v="0.2"/>
    <s v="17SNS-SN603PIT UCW1"/>
    <n v="1"/>
    <n v="513000"/>
    <s v="17SNS-SN603SNSSNS-EX500-2411"/>
    <n v="1"/>
    <s v="Week III"/>
    <s v="UCW"/>
    <s v="SNS-EX500-241SNS"/>
    <x v="1"/>
    <x v="0"/>
    <x v="0"/>
    <x v="0"/>
  </r>
  <r>
    <x v="15"/>
    <x v="0"/>
    <s v="SNS-SN572"/>
    <s v="SNS-EX500-241"/>
    <s v="Channel_UCW"/>
    <n v="22"/>
    <n v="13.5"/>
    <n v="297"/>
    <s v="OB-PAF"/>
    <s v="UCW"/>
    <n v="2000"/>
    <s v="PIT UCW"/>
    <n v="594000"/>
    <x v="0"/>
    <s v="17SNS-EX500-241SNSPIT UCW1"/>
    <n v="0.2"/>
    <s v="17SNS-SN572PIT UCW1"/>
    <n v="1"/>
    <n v="594000"/>
    <s v="17SNS-SN572SNSSNS-EX500-2411"/>
    <n v="1"/>
    <s v="Week III"/>
    <s v="UCW"/>
    <s v="SNS-EX500-241SNS"/>
    <x v="0"/>
    <x v="0"/>
    <x v="0"/>
    <x v="0"/>
  </r>
  <r>
    <x v="15"/>
    <x v="0"/>
    <s v="SNS-SN573"/>
    <s v="SNS-EX500-241"/>
    <s v="Channel_UCW"/>
    <n v="18"/>
    <n v="13.5"/>
    <n v="243"/>
    <s v="OB-PAF"/>
    <s v="UCW"/>
    <n v="2000"/>
    <s v="PIT UCW"/>
    <n v="486000"/>
    <x v="0"/>
    <s v="17SNS-EX500-241SNSPIT UCW1"/>
    <n v="0.2"/>
    <s v="17SNS-SN573PIT UCW1"/>
    <n v="1"/>
    <n v="486000"/>
    <s v="17SNS-SN573SNSSNS-EX500-2411"/>
    <n v="1"/>
    <s v="Week III"/>
    <s v="UCW"/>
    <s v="SNS-EX500-241SNS"/>
    <x v="0"/>
    <x v="0"/>
    <x v="0"/>
    <x v="0"/>
  </r>
  <r>
    <x v="15"/>
    <x v="0"/>
    <s v="SNS-SN563"/>
    <s v="SNS-EX500-241"/>
    <s v="Channel_UCW"/>
    <n v="19"/>
    <n v="13.5"/>
    <n v="256.5"/>
    <s v="OB-PAF"/>
    <s v="UCW"/>
    <n v="2000"/>
    <s v="PIT UCW"/>
    <n v="513000"/>
    <x v="0"/>
    <s v="17SNS-EX500-241SNSPIT UCW1"/>
    <n v="0.2"/>
    <s v="17SNS-SN563PIT UCW1"/>
    <n v="1"/>
    <n v="513000"/>
    <s v="17SNS-SN563SNSSNS-EX500-2411"/>
    <n v="1"/>
    <s v="Week III"/>
    <s v="UCW"/>
    <s v="SNS-EX500-241SNS"/>
    <x v="0"/>
    <x v="0"/>
    <x v="0"/>
    <x v="0"/>
  </r>
  <r>
    <x v="15"/>
    <x v="0"/>
    <s v="SNS-SN557"/>
    <s v="SNS-EX520-239"/>
    <s v="UCEX"/>
    <n v="19"/>
    <n v="13.5"/>
    <n v="256.5"/>
    <s v="OB-PAF"/>
    <s v="UEW_WEST"/>
    <n v="2000"/>
    <s v="PIT UCEX"/>
    <n v="513000"/>
    <x v="0"/>
    <s v="17SNS-EX520-239SNSPIT UCEX1"/>
    <n v="0.14285714285714285"/>
    <s v="17SNS-SN557PIT UCEX1"/>
    <n v="1"/>
    <n v="513000"/>
    <s v="17SNS-SN557SNSSNS-EX520-2391"/>
    <n v="1"/>
    <s v="Week III"/>
    <s v="UEW"/>
    <s v="SNS-EX520-239SNS"/>
    <x v="0"/>
    <x v="1"/>
    <x v="1"/>
    <x v="0"/>
  </r>
  <r>
    <x v="15"/>
    <x v="0"/>
    <s v="SNS-SN582"/>
    <s v="SNS-EX520-239"/>
    <s v="UCEX"/>
    <n v="14"/>
    <n v="13.5"/>
    <n v="189"/>
    <s v="OB-PAF"/>
    <s v="UEW_WEST"/>
    <n v="2000"/>
    <s v="PIT UCEX"/>
    <n v="378000"/>
    <x v="0"/>
    <s v="17SNS-EX520-239SNSPIT UCEX1"/>
    <n v="0.14285714285714285"/>
    <s v="17SNS-SN582PIT UCEX1"/>
    <n v="1"/>
    <n v="378000"/>
    <s v="17SNS-SN582SNSSNS-EX520-2391"/>
    <n v="1"/>
    <s v="Week III"/>
    <s v="UEW"/>
    <s v="SNS-EX520-239SNS"/>
    <x v="0"/>
    <x v="1"/>
    <x v="1"/>
    <x v="0"/>
  </r>
  <r>
    <x v="15"/>
    <x v="0"/>
    <s v="SNS-SN608"/>
    <s v="SNS-EX520-239"/>
    <s v="UCEX"/>
    <n v="16"/>
    <n v="13.5"/>
    <n v="216"/>
    <s v="OB-PAF"/>
    <s v="UEW_WEST"/>
    <n v="2000"/>
    <s v="PIT UCEX"/>
    <n v="432000"/>
    <x v="0"/>
    <s v="17SNS-EX520-239SNSPIT UCEX1"/>
    <n v="0.14285714285714285"/>
    <s v="17SNS-SN608PIT UCEX1"/>
    <n v="1"/>
    <n v="432000"/>
    <s v="17SNS-SN608SNSSNS-EX520-2391"/>
    <n v="1"/>
    <s v="Week III"/>
    <s v="UEW"/>
    <s v="SNS-EX520-239SNS"/>
    <x v="0"/>
    <x v="1"/>
    <x v="1"/>
    <x v="0"/>
  </r>
  <r>
    <x v="15"/>
    <x v="0"/>
    <s v="SNS-SN567"/>
    <s v="SNS-EX520-239"/>
    <s v="UCEX"/>
    <n v="18"/>
    <n v="13.5"/>
    <n v="243"/>
    <s v="OB-PAF"/>
    <s v="UEW_WEST"/>
    <n v="2000"/>
    <s v="PIT UCEX"/>
    <n v="486000"/>
    <x v="0"/>
    <s v="17SNS-EX520-239SNSPIT UCEX1"/>
    <n v="0.14285714285714285"/>
    <s v="17SNS-SN567PIT UCEX1"/>
    <n v="1"/>
    <n v="486000"/>
    <s v="17SNS-SN567SNSSNS-EX520-2391"/>
    <n v="1"/>
    <s v="Week III"/>
    <s v="UEW"/>
    <s v="SNS-EX520-239SNS"/>
    <x v="0"/>
    <x v="1"/>
    <x v="1"/>
    <x v="0"/>
  </r>
  <r>
    <x v="15"/>
    <x v="0"/>
    <s v="SNS-SN569"/>
    <s v="SNS-EX520-239"/>
    <s v="UCEX"/>
    <n v="14"/>
    <n v="13.5"/>
    <n v="189"/>
    <s v="OB-PAF"/>
    <s v="UEW_WEST"/>
    <n v="2000"/>
    <s v="PIT UCEX"/>
    <n v="378000"/>
    <x v="0"/>
    <s v="17SNS-EX520-239SNSPIT UCEX1"/>
    <n v="0.14285714285714285"/>
    <s v="17SNS-SN569PIT UCEX1"/>
    <n v="1"/>
    <n v="378000"/>
    <s v="17SNS-SN569SNSSNS-EX520-2391"/>
    <n v="1"/>
    <s v="Week III"/>
    <s v="UEW"/>
    <s v="SNS-EX520-239SNS"/>
    <x v="0"/>
    <x v="1"/>
    <x v="1"/>
    <x v="0"/>
  </r>
  <r>
    <x v="15"/>
    <x v="0"/>
    <s v="SNS-SN606"/>
    <s v="SNS-EX520-239"/>
    <s v="UCEX"/>
    <n v="14"/>
    <n v="13.5"/>
    <n v="189"/>
    <s v="OB-PAF"/>
    <s v="UEW_WEST"/>
    <n v="2000"/>
    <s v="PIT UCEX"/>
    <n v="378000"/>
    <x v="0"/>
    <s v="17SNS-EX520-239SNSPIT UCEX1"/>
    <n v="0.14285714285714285"/>
    <s v="17SNS-SN606PIT UCEX1"/>
    <n v="1"/>
    <n v="378000"/>
    <s v="17SNS-SN606SNSSNS-EX520-2391"/>
    <n v="1"/>
    <s v="Week III"/>
    <s v="UEW"/>
    <s v="SNS-EX520-239SNS"/>
    <x v="1"/>
    <x v="1"/>
    <x v="1"/>
    <x v="0"/>
  </r>
  <r>
    <x v="15"/>
    <x v="0"/>
    <s v="SNS-SN574"/>
    <s v="SNS-EX520-239"/>
    <s v="UCEX"/>
    <n v="17"/>
    <n v="13.5"/>
    <n v="229.5"/>
    <s v="OB-PAF"/>
    <s v="UEW_WEST"/>
    <n v="2000"/>
    <s v="PIT UCEX"/>
    <n v="459000"/>
    <x v="0"/>
    <s v="17SNS-EX520-239SNSPIT UCEX1"/>
    <n v="0.14285714285714285"/>
    <s v="17SNS-SN574PIT UCEX1"/>
    <n v="1"/>
    <n v="459000"/>
    <s v="17SNS-SN574SNSSNS-EX520-2391"/>
    <n v="1"/>
    <s v="Week III"/>
    <s v="UEW"/>
    <s v="SNS-EX520-239SNS"/>
    <x v="0"/>
    <x v="1"/>
    <x v="1"/>
    <x v="0"/>
  </r>
  <r>
    <x v="15"/>
    <x v="0"/>
    <s v="SNS-SN561"/>
    <s v="SNS-EX520-240"/>
    <s v="UCEX"/>
    <n v="14"/>
    <n v="13.5"/>
    <n v="189"/>
    <s v="OB-PAF"/>
    <s v="UEW_WEST"/>
    <n v="2000"/>
    <s v="PIT UCEX"/>
    <n v="378000"/>
    <x v="0"/>
    <s v="17SNS-EX520-240SNSPIT UCEX1"/>
    <n v="0.16666666666666666"/>
    <s v="17SNS-SN561PIT UCEX1"/>
    <n v="1"/>
    <n v="378000"/>
    <s v="17SNS-SN561SNSSNS-EX520-2401"/>
    <n v="1"/>
    <s v="Week III"/>
    <s v="UEW"/>
    <s v="SNS-EX520-240SNS"/>
    <x v="0"/>
    <x v="1"/>
    <x v="1"/>
    <x v="0"/>
  </r>
  <r>
    <x v="15"/>
    <x v="0"/>
    <s v="SNS-SN566"/>
    <s v="SNS-EX520-240"/>
    <s v="UCEX"/>
    <n v="13"/>
    <n v="13.5"/>
    <n v="175.5"/>
    <s v="OB-PAF"/>
    <s v="UEW_WEST"/>
    <n v="2000"/>
    <s v="PIT UCEX"/>
    <n v="351000"/>
    <x v="0"/>
    <s v="17SNS-EX520-240SNSPIT UCEX1"/>
    <n v="0.16666666666666666"/>
    <s v="17SNS-SN566PIT UCEX1"/>
    <n v="1"/>
    <n v="351000"/>
    <s v="17SNS-SN566SNSSNS-EX520-2401"/>
    <n v="1"/>
    <s v="Week III"/>
    <s v="UEW"/>
    <s v="SNS-EX520-240SNS"/>
    <x v="0"/>
    <x v="1"/>
    <x v="1"/>
    <x v="0"/>
  </r>
  <r>
    <x v="15"/>
    <x v="0"/>
    <s v="SNS-SN604"/>
    <s v="SNS-EX520-240"/>
    <s v="UCEX"/>
    <n v="14"/>
    <n v="13.5"/>
    <n v="189"/>
    <s v="OB-PAF"/>
    <s v="UEW_WEST"/>
    <n v="2000"/>
    <s v="PIT UCEX"/>
    <n v="378000"/>
    <x v="0"/>
    <s v="17SNS-EX520-240SNSPIT UCEX1"/>
    <n v="0.16666666666666666"/>
    <s v="17SNS-SN604PIT UCEX1"/>
    <n v="1"/>
    <n v="378000"/>
    <s v="17SNS-SN604SNSSNS-EX520-2401"/>
    <n v="1"/>
    <s v="Week III"/>
    <s v="UEW"/>
    <s v="SNS-EX520-240SNS"/>
    <x v="1"/>
    <x v="1"/>
    <x v="1"/>
    <x v="0"/>
  </r>
  <r>
    <x v="15"/>
    <x v="0"/>
    <s v="SNS-SN564"/>
    <s v="SNS-EX520-240"/>
    <s v="UCEX"/>
    <n v="13"/>
    <n v="13.5"/>
    <n v="175.5"/>
    <s v="OB-PAF"/>
    <s v="UEW_WEST"/>
    <n v="2000"/>
    <s v="PIT UCEX"/>
    <n v="351000"/>
    <x v="0"/>
    <s v="17SNS-EX520-240SNSPIT UCEX1"/>
    <n v="0.16666666666666666"/>
    <s v="17SNS-SN564PIT UCEX1"/>
    <n v="1"/>
    <n v="351000"/>
    <s v="17SNS-SN564SNSSNS-EX520-2401"/>
    <n v="1"/>
    <s v="Week III"/>
    <s v="UEW"/>
    <s v="SNS-EX520-240SNS"/>
    <x v="0"/>
    <x v="1"/>
    <x v="1"/>
    <x v="0"/>
  </r>
  <r>
    <x v="15"/>
    <x v="0"/>
    <s v="SNS-SN559"/>
    <s v="SNS-EX520-240"/>
    <s v="UCEX"/>
    <n v="14"/>
    <n v="13.5"/>
    <n v="189"/>
    <s v="OB-PAF"/>
    <s v="UEW_WEST"/>
    <n v="2000"/>
    <s v="PIT UCEX"/>
    <n v="378000"/>
    <x v="0"/>
    <s v="17SNS-EX520-240SNSPIT UCEX1"/>
    <n v="0.16666666666666666"/>
    <s v="17SNS-SN559PIT UCEX1"/>
    <n v="1"/>
    <n v="378000"/>
    <s v="17SNS-SN559SNSSNS-EX520-2401"/>
    <n v="1"/>
    <s v="Week III"/>
    <s v="UEW"/>
    <s v="SNS-EX520-240SNS"/>
    <x v="0"/>
    <x v="1"/>
    <x v="1"/>
    <x v="0"/>
  </r>
  <r>
    <x v="15"/>
    <x v="0"/>
    <s v="SNS-SN558"/>
    <s v="SNS-EX520-240"/>
    <s v="UCEX"/>
    <n v="14"/>
    <n v="13.5"/>
    <n v="189"/>
    <s v="OB-PAF"/>
    <s v="UEW_WEST"/>
    <n v="2000"/>
    <s v="PIT UCEX"/>
    <n v="378000"/>
    <x v="0"/>
    <s v="17SNS-EX520-240SNSPIT UCEX1"/>
    <n v="0.16666666666666666"/>
    <s v="17SNS-SN558PIT UCEX1"/>
    <n v="1"/>
    <n v="378000"/>
    <s v="17SNS-SN558SNSSNS-EX520-2401"/>
    <n v="1"/>
    <s v="Week III"/>
    <s v="UEW"/>
    <s v="SNS-EX520-240SNS"/>
    <x v="0"/>
    <x v="1"/>
    <x v="1"/>
    <x v="0"/>
  </r>
  <r>
    <x v="16"/>
    <x v="0"/>
    <s v="SNS-SN561"/>
    <s v="SNS-EX520-239"/>
    <s v="UCEX"/>
    <n v="24"/>
    <n v="13.5"/>
    <n v="324"/>
    <s v="OB-PAF"/>
    <s v="UEW_WEST"/>
    <n v="2000"/>
    <s v="PIT UCEX"/>
    <n v="648000"/>
    <x v="0"/>
    <s v="18SNS-EX520-239SNSPIT UCEX1"/>
    <n v="0.16666666666666666"/>
    <s v="18SNS-SN561PIT UCEX1"/>
    <n v="1"/>
    <n v="648000"/>
    <s v="18SNS-SN561SNSSNS-EX520-2391"/>
    <n v="1"/>
    <s v="Week III"/>
    <s v="UEW"/>
    <s v="SNS-EX520-239SNS"/>
    <x v="0"/>
    <x v="1"/>
    <x v="1"/>
    <x v="0"/>
  </r>
  <r>
    <x v="16"/>
    <x v="0"/>
    <s v="SNS-SN569"/>
    <s v="SNS-EX520-239"/>
    <s v="UCEX"/>
    <n v="20"/>
    <n v="13.5"/>
    <n v="270"/>
    <s v="OB-PAF"/>
    <s v="UEW_WEST"/>
    <n v="2000"/>
    <s v="PIT UCEX"/>
    <n v="540000"/>
    <x v="0"/>
    <s v="18SNS-EX520-239SNSPIT UCEX1"/>
    <n v="0.16666666666666666"/>
    <s v="18SNS-SN569PIT UCEX1"/>
    <n v="1"/>
    <n v="540000"/>
    <s v="18SNS-SN569SNSSNS-EX520-2391"/>
    <n v="1"/>
    <s v="Week III"/>
    <s v="UEW"/>
    <s v="SNS-EX520-239SNS"/>
    <x v="0"/>
    <x v="1"/>
    <x v="1"/>
    <x v="0"/>
  </r>
  <r>
    <x v="16"/>
    <x v="0"/>
    <s v="SNS-SN582"/>
    <s v="SNS-EX520-239"/>
    <s v="UCEX"/>
    <n v="23"/>
    <n v="13.5"/>
    <n v="310.5"/>
    <s v="OB-PAF"/>
    <s v="UEW_WEST"/>
    <n v="2000"/>
    <s v="PIT UCEX"/>
    <n v="621000"/>
    <x v="0"/>
    <s v="18SNS-EX520-239SNSPIT UCEX1"/>
    <n v="0.16666666666666666"/>
    <s v="18SNS-SN582PIT UCEX1"/>
    <n v="1"/>
    <n v="621000"/>
    <s v="18SNS-SN582SNSSNS-EX520-2391"/>
    <n v="1"/>
    <s v="Week III"/>
    <s v="UEW"/>
    <s v="SNS-EX520-239SNS"/>
    <x v="0"/>
    <x v="1"/>
    <x v="1"/>
    <x v="0"/>
  </r>
  <r>
    <x v="16"/>
    <x v="0"/>
    <s v="SNS-SN559"/>
    <s v="SNS-EX520-239"/>
    <s v="UCEX"/>
    <n v="25"/>
    <n v="13.5"/>
    <n v="337.5"/>
    <s v="OB-PAF"/>
    <s v="UEW_WEST"/>
    <n v="2000"/>
    <s v="PIT UCEX"/>
    <n v="675000"/>
    <x v="0"/>
    <s v="18SNS-EX520-239SNSPIT UCEX1"/>
    <n v="0.16666666666666666"/>
    <s v="18SNS-SN559PIT UCEX1"/>
    <n v="1"/>
    <n v="675000"/>
    <s v="18SNS-SN559SNSSNS-EX520-2391"/>
    <n v="1"/>
    <s v="Week III"/>
    <s v="UEW"/>
    <s v="SNS-EX520-239SNS"/>
    <x v="0"/>
    <x v="1"/>
    <x v="1"/>
    <x v="0"/>
  </r>
  <r>
    <x v="16"/>
    <x v="0"/>
    <s v="SNS-SN567"/>
    <s v="SNS-EX520-239"/>
    <s v="UCEX"/>
    <n v="14"/>
    <n v="13.5"/>
    <n v="189"/>
    <s v="OB-PAF"/>
    <s v="UEW_WEST"/>
    <n v="2000"/>
    <s v="PIT UCEX"/>
    <n v="378000"/>
    <x v="0"/>
    <s v="18SNS-EX520-239SNSPIT UCEX1"/>
    <n v="0.16666666666666666"/>
    <s v="18SNS-SN567PIT UCEX1"/>
    <n v="1"/>
    <n v="378000"/>
    <s v="18SNS-SN567SNSSNS-EX520-2391"/>
    <n v="1"/>
    <s v="Week III"/>
    <s v="UEW"/>
    <s v="SNS-EX520-239SNS"/>
    <x v="0"/>
    <x v="1"/>
    <x v="1"/>
    <x v="0"/>
  </r>
  <r>
    <x v="16"/>
    <x v="0"/>
    <s v="SNS-SN606"/>
    <s v="SNS-EX520-239"/>
    <s v="UCEX"/>
    <n v="13"/>
    <n v="13.5"/>
    <n v="175.5"/>
    <s v="OB-PAF"/>
    <s v="UEW_WEST"/>
    <n v="2000"/>
    <s v="PIT UCEX"/>
    <n v="351000"/>
    <x v="0"/>
    <s v="18SNS-EX520-239SNSPIT UCEX1"/>
    <n v="0.16666666666666666"/>
    <s v="18SNS-SN606PIT UCEX1"/>
    <n v="1"/>
    <n v="351000"/>
    <s v="18SNS-SN606SNSSNS-EX520-2391"/>
    <n v="1"/>
    <s v="Week III"/>
    <s v="UEW"/>
    <s v="SNS-EX520-239SNS"/>
    <x v="1"/>
    <x v="1"/>
    <x v="1"/>
    <x v="0"/>
  </r>
  <r>
    <x v="16"/>
    <x v="0"/>
    <s v="SNS-SN574"/>
    <s v="SNS-EX520-248"/>
    <s v="UCEX"/>
    <n v="18"/>
    <n v="13.5"/>
    <n v="243"/>
    <s v="OB-PAF"/>
    <s v="UEW_WEST"/>
    <n v="2000"/>
    <s v="PIT UCEX"/>
    <n v="486000"/>
    <x v="0"/>
    <s v="18SNS-EX520-248SNSPIT UCEX1"/>
    <n v="0.125"/>
    <s v="18SNS-SN574PIT UCEX1"/>
    <n v="1"/>
    <n v="486000"/>
    <s v="18SNS-SN574SNSSNS-EX520-2481"/>
    <n v="1"/>
    <s v="Week III"/>
    <s v="UEW"/>
    <s v="SNS-EX520-248SNS"/>
    <x v="0"/>
    <x v="1"/>
    <x v="1"/>
    <x v="0"/>
  </r>
  <r>
    <x v="16"/>
    <x v="0"/>
    <s v="SNS-SN604"/>
    <s v="SNS-EX520-248"/>
    <s v="UCEX"/>
    <n v="6"/>
    <n v="13.5"/>
    <n v="81"/>
    <s v="OB-PAF"/>
    <s v="UEW_WEST"/>
    <n v="2000"/>
    <s v="PIT UCEX"/>
    <n v="162000"/>
    <x v="0"/>
    <s v="18SNS-EX520-248SNSPIT UCEX1"/>
    <n v="0.125"/>
    <s v="18SNS-SN604PIT UCEX1"/>
    <n v="1"/>
    <n v="162000"/>
    <s v="18SNS-SN604SNSSNS-EX520-2481"/>
    <n v="1"/>
    <s v="Week III"/>
    <s v="UEW"/>
    <s v="SNS-EX520-248SNS"/>
    <x v="1"/>
    <x v="1"/>
    <x v="1"/>
    <x v="0"/>
  </r>
  <r>
    <x v="16"/>
    <x v="0"/>
    <s v="SNS-SN605"/>
    <s v="SNS-EX520-248"/>
    <s v="UCEX"/>
    <n v="9"/>
    <n v="13.5"/>
    <n v="121.5"/>
    <s v="OB-PAF"/>
    <s v="UEW_WEST"/>
    <n v="2000"/>
    <s v="PIT UCEX"/>
    <n v="243000"/>
    <x v="0"/>
    <s v="18SNS-EX520-248SNSPIT UCEX1"/>
    <n v="0.125"/>
    <s v="18SNS-SN605PIT UCEX1"/>
    <n v="1"/>
    <n v="243000"/>
    <s v="18SNS-SN605SNSSNS-EX520-2481"/>
    <n v="1"/>
    <s v="Week III"/>
    <s v="UEW"/>
    <s v="SNS-EX520-248SNS"/>
    <x v="1"/>
    <x v="1"/>
    <x v="1"/>
    <x v="0"/>
  </r>
  <r>
    <x v="16"/>
    <x v="0"/>
    <s v="SNS-SN564"/>
    <s v="SNS-EX520-248"/>
    <s v="UCEX"/>
    <n v="16"/>
    <n v="13.5"/>
    <n v="216"/>
    <s v="OB-PAF"/>
    <s v="UEW_WEST"/>
    <n v="2000"/>
    <s v="PIT UCEX"/>
    <n v="432000"/>
    <x v="0"/>
    <s v="18SNS-EX520-248SNSPIT UCEX1"/>
    <n v="0.125"/>
    <s v="18SNS-SN564PIT UCEX1"/>
    <n v="1"/>
    <n v="432000"/>
    <s v="18SNS-SN564SNSSNS-EX520-2481"/>
    <n v="1"/>
    <s v="Week III"/>
    <s v="UEW"/>
    <s v="SNS-EX520-248SNS"/>
    <x v="0"/>
    <x v="1"/>
    <x v="1"/>
    <x v="0"/>
  </r>
  <r>
    <x v="16"/>
    <x v="0"/>
    <s v="SNS-SN558"/>
    <s v="SNS-EX520-248"/>
    <s v="UCEX"/>
    <n v="18"/>
    <n v="13.5"/>
    <n v="243"/>
    <s v="OB-PAF"/>
    <s v="UEW_WEST"/>
    <n v="2000"/>
    <s v="PIT UCEX"/>
    <n v="486000"/>
    <x v="0"/>
    <s v="18SNS-EX520-248SNSPIT UCEX1"/>
    <n v="0.125"/>
    <s v="18SNS-SN558PIT UCEX1"/>
    <n v="1"/>
    <n v="486000"/>
    <s v="18SNS-SN558SNSSNS-EX520-2481"/>
    <n v="1"/>
    <s v="Week III"/>
    <s v="UEW"/>
    <s v="SNS-EX520-248SNS"/>
    <x v="0"/>
    <x v="1"/>
    <x v="1"/>
    <x v="0"/>
  </r>
  <r>
    <x v="16"/>
    <x v="0"/>
    <s v="SNS-SN566"/>
    <s v="SNS-EX520-248"/>
    <s v="UCEX"/>
    <n v="18"/>
    <n v="13.5"/>
    <n v="243"/>
    <s v="OB-PAF"/>
    <s v="UEW_WEST"/>
    <n v="2000"/>
    <s v="PIT UCEX"/>
    <n v="486000"/>
    <x v="0"/>
    <s v="18SNS-EX520-248SNSPIT UCEX1"/>
    <n v="0.125"/>
    <s v="18SNS-SN566PIT UCEX1"/>
    <n v="1"/>
    <n v="486000"/>
    <s v="18SNS-SN566SNSSNS-EX520-2481"/>
    <n v="1"/>
    <s v="Week III"/>
    <s v="UEW"/>
    <s v="SNS-EX520-248SNS"/>
    <x v="0"/>
    <x v="1"/>
    <x v="1"/>
    <x v="0"/>
  </r>
  <r>
    <x v="16"/>
    <x v="0"/>
    <s v="SNS-SN557"/>
    <s v="SNS-EX520-248"/>
    <s v="UCEX"/>
    <n v="13"/>
    <n v="13.5"/>
    <n v="175.5"/>
    <s v="OB-PAF"/>
    <s v="UEW_WEST"/>
    <n v="2000"/>
    <s v="PIT UCEX"/>
    <n v="351000"/>
    <x v="0"/>
    <s v="18SNS-EX520-248SNSPIT UCEX1"/>
    <n v="0.125"/>
    <s v="18SNS-SN557PIT UCEX1"/>
    <n v="1"/>
    <n v="351000"/>
    <s v="18SNS-SN557SNSSNS-EX520-2481"/>
    <n v="1"/>
    <s v="Week III"/>
    <s v="UEW"/>
    <s v="SNS-EX520-248SNS"/>
    <x v="0"/>
    <x v="1"/>
    <x v="1"/>
    <x v="0"/>
  </r>
  <r>
    <x v="16"/>
    <x v="0"/>
    <s v="SNS-SN609"/>
    <s v="SNS-EX520-248"/>
    <s v="UCEX"/>
    <n v="13"/>
    <n v="13.5"/>
    <n v="175.5"/>
    <s v="OB-PAF"/>
    <s v="UEW_WEST"/>
    <n v="2000"/>
    <s v="PIT UCEX"/>
    <n v="351000"/>
    <x v="0"/>
    <s v="18SNS-EX520-248SNSPIT UCEX1"/>
    <n v="0.125"/>
    <s v="18SNS-SN609PIT UCEX1"/>
    <n v="1"/>
    <n v="351000"/>
    <s v="18SNS-SN609SNSSNS-EX520-2481"/>
    <n v="1"/>
    <s v="Week III"/>
    <s v="UEW"/>
    <s v="SNS-EX520-248SNS"/>
    <x v="0"/>
    <x v="1"/>
    <x v="1"/>
    <x v="0"/>
  </r>
  <r>
    <x v="16"/>
    <x v="0"/>
    <s v="SNS-SN572"/>
    <s v="SNS-EX500-241"/>
    <s v="Channel_UCW"/>
    <n v="2"/>
    <n v="13.5"/>
    <n v="27"/>
    <s v="OB-PAF"/>
    <s v="UCW"/>
    <n v="2000"/>
    <s v="PIT UCW"/>
    <n v="54000"/>
    <x v="0"/>
    <s v="18SNS-EX500-241SNSPIT UCW1"/>
    <n v="0.16666666666666666"/>
    <s v="18SNS-SN572PIT UCW1"/>
    <n v="1"/>
    <n v="54000"/>
    <s v="18SNS-SN572SNSSNS-EX500-2411"/>
    <n v="1"/>
    <s v="Week III"/>
    <s v="UCW"/>
    <s v="SNS-EX500-241SNS"/>
    <x v="0"/>
    <x v="0"/>
    <x v="0"/>
    <x v="0"/>
  </r>
  <r>
    <x v="16"/>
    <x v="0"/>
    <s v="SNS-SN573"/>
    <s v="SNS-EX500-241"/>
    <s v="Channel_UCW"/>
    <n v="1"/>
    <n v="13.5"/>
    <n v="13.5"/>
    <s v="OB-PAF"/>
    <s v="UCW"/>
    <n v="2000"/>
    <s v="PIT UCW"/>
    <n v="27000"/>
    <x v="0"/>
    <s v="18SNS-EX500-241SNSPIT UCW1"/>
    <n v="0.16666666666666666"/>
    <s v="18SNS-SN573PIT UCW1"/>
    <n v="1"/>
    <n v="27000"/>
    <s v="18SNS-SN573SNSSNS-EX500-2411"/>
    <n v="1"/>
    <s v="Week III"/>
    <s v="UCW"/>
    <s v="SNS-EX500-241SNS"/>
    <x v="0"/>
    <x v="0"/>
    <x v="0"/>
    <x v="0"/>
  </r>
  <r>
    <x v="16"/>
    <x v="0"/>
    <s v="SNS-SN579"/>
    <s v="SNS-EX500-241"/>
    <s v="Channel_UCW"/>
    <n v="1"/>
    <n v="13.5"/>
    <n v="13.5"/>
    <s v="OB-PAF"/>
    <s v="UCW"/>
    <n v="2000"/>
    <s v="PIT UCW"/>
    <n v="27000"/>
    <x v="0"/>
    <s v="18SNS-EX500-241SNSPIT UCW1"/>
    <n v="0.16666666666666666"/>
    <s v="18SNS-SN579PIT UCW1"/>
    <n v="1"/>
    <n v="27000"/>
    <s v="18SNS-SN579SNSSNS-EX500-2411"/>
    <n v="1"/>
    <s v="Week III"/>
    <s v="UCW"/>
    <s v="SNS-EX500-241SNS"/>
    <x v="0"/>
    <x v="0"/>
    <x v="0"/>
    <x v="0"/>
  </r>
  <r>
    <x v="16"/>
    <x v="0"/>
    <s v="SNS-SN563"/>
    <s v="SNS-EX500-241"/>
    <s v="Channel_UCW"/>
    <n v="1"/>
    <n v="13.5"/>
    <n v="13.5"/>
    <s v="OB-PAF"/>
    <s v="UCW"/>
    <n v="2000"/>
    <s v="PIT UCW"/>
    <n v="27000"/>
    <x v="0"/>
    <s v="18SNS-EX500-241SNSPIT UCW1"/>
    <n v="0.16666666666666666"/>
    <s v="18SNS-SN563PIT UCW1"/>
    <n v="1"/>
    <n v="27000"/>
    <s v="18SNS-SN563SNSSNS-EX500-2411"/>
    <n v="1"/>
    <s v="Week III"/>
    <s v="UCW"/>
    <s v="SNS-EX500-241SNS"/>
    <x v="0"/>
    <x v="0"/>
    <x v="0"/>
    <x v="0"/>
  </r>
  <r>
    <x v="16"/>
    <x v="0"/>
    <s v="SNS-SN580"/>
    <s v="SNS-EX500-241"/>
    <s v="Channel_UCW"/>
    <n v="1"/>
    <n v="13.5"/>
    <n v="13.5"/>
    <s v="OB-PAF"/>
    <s v="UCW"/>
    <n v="2000"/>
    <s v="PIT UCW"/>
    <n v="27000"/>
    <x v="0"/>
    <s v="18SNS-EX500-241SNSPIT UCW1"/>
    <n v="0.16666666666666666"/>
    <s v="18SNS-SN580PIT UCW1"/>
    <n v="1"/>
    <n v="27000"/>
    <s v="18SNS-SN580SNSSNS-EX500-2411"/>
    <n v="1"/>
    <s v="Week III"/>
    <s v="UCW"/>
    <s v="SNS-EX500-241SNS"/>
    <x v="0"/>
    <x v="0"/>
    <x v="0"/>
    <x v="0"/>
  </r>
  <r>
    <x v="16"/>
    <x v="0"/>
    <s v="SNS-SN603"/>
    <s v="SNS-EX500-241"/>
    <s v="Channel_UCW"/>
    <n v="1"/>
    <n v="13.5"/>
    <n v="13.5"/>
    <s v="OB-PAF"/>
    <s v="UCW"/>
    <n v="2000"/>
    <s v="PIT UCW"/>
    <n v="27000"/>
    <x v="0"/>
    <s v="18SNS-EX500-241SNSPIT UCW1"/>
    <n v="0.16666666666666666"/>
    <s v="18SNS-SN603PIT UCW1"/>
    <n v="1"/>
    <n v="27000"/>
    <s v="18SNS-SN603SNSSNS-EX500-2411"/>
    <n v="1"/>
    <s v="Week III"/>
    <s v="UCW"/>
    <s v="SNS-EX500-241SNS"/>
    <x v="1"/>
    <x v="0"/>
    <x v="0"/>
    <x v="0"/>
  </r>
  <r>
    <x v="16"/>
    <x v="0"/>
    <s v="SNS-SN572"/>
    <s v="SNS-EX520-245"/>
    <s v="UCE_TJP"/>
    <n v="6"/>
    <n v="13.5"/>
    <n v="81"/>
    <s v="OB-PAF"/>
    <s v="M2W"/>
    <n v="2000"/>
    <s v="UCE_TJP"/>
    <n v="162000"/>
    <x v="0"/>
    <s v="18SNS-EX520-245SNSUCE_TJP1"/>
    <n v="0.16666666666666666"/>
    <s v="18SNS-SN572UCE_TJP1"/>
    <n v="1"/>
    <n v="162000"/>
    <s v="18SNS-SN572SNSSNS-EX520-2451"/>
    <n v="1"/>
    <s v="Week III"/>
    <s v="M2W"/>
    <s v="SNS-EX520-245SNS"/>
    <x v="0"/>
    <x v="2"/>
    <x v="2"/>
    <x v="0"/>
  </r>
  <r>
    <x v="16"/>
    <x v="0"/>
    <s v="SNS-SN573"/>
    <s v="SNS-EX520-245"/>
    <s v="UCE_TJP"/>
    <n v="7"/>
    <n v="13.5"/>
    <n v="94.5"/>
    <s v="OB-PAF"/>
    <s v="M2W"/>
    <n v="2000"/>
    <s v="UCE_TJP"/>
    <n v="189000"/>
    <x v="0"/>
    <s v="18SNS-EX520-245SNSUCE_TJP1"/>
    <n v="0.16666666666666666"/>
    <s v="18SNS-SN573UCE_TJP1"/>
    <n v="1"/>
    <n v="189000"/>
    <s v="18SNS-SN573SNSSNS-EX520-2451"/>
    <n v="1"/>
    <s v="Week III"/>
    <s v="M2W"/>
    <s v="SNS-EX520-245SNS"/>
    <x v="0"/>
    <x v="2"/>
    <x v="2"/>
    <x v="0"/>
  </r>
  <r>
    <x v="16"/>
    <x v="0"/>
    <s v="SNS-SN579"/>
    <s v="SNS-EX520-245"/>
    <s v="UCE_TJP"/>
    <n v="7"/>
    <n v="13.5"/>
    <n v="94.5"/>
    <s v="OB-PAF"/>
    <s v="M2W"/>
    <n v="2000"/>
    <s v="UCE_TJP"/>
    <n v="189000"/>
    <x v="0"/>
    <s v="18SNS-EX520-245SNSUCE_TJP1"/>
    <n v="0.16666666666666666"/>
    <s v="18SNS-SN579UCE_TJP1"/>
    <n v="1"/>
    <n v="189000"/>
    <s v="18SNS-SN579SNSSNS-EX520-2451"/>
    <n v="1"/>
    <s v="Week III"/>
    <s v="M2W"/>
    <s v="SNS-EX520-245SNS"/>
    <x v="0"/>
    <x v="2"/>
    <x v="2"/>
    <x v="0"/>
  </r>
  <r>
    <x v="16"/>
    <x v="0"/>
    <s v="SNS-SN563"/>
    <s v="SNS-EX520-245"/>
    <s v="UCE_TJP"/>
    <n v="7"/>
    <n v="13.5"/>
    <n v="94.5"/>
    <s v="OB-PAF"/>
    <s v="M2W"/>
    <n v="2000"/>
    <s v="UCE_TJP"/>
    <n v="189000"/>
    <x v="0"/>
    <s v="18SNS-EX520-245SNSUCE_TJP1"/>
    <n v="0.16666666666666666"/>
    <s v="18SNS-SN563UCE_TJP1"/>
    <n v="1"/>
    <n v="189000"/>
    <s v="18SNS-SN563SNSSNS-EX520-2451"/>
    <n v="1"/>
    <s v="Week III"/>
    <s v="M2W"/>
    <s v="SNS-EX520-245SNS"/>
    <x v="0"/>
    <x v="2"/>
    <x v="2"/>
    <x v="0"/>
  </r>
  <r>
    <x v="16"/>
    <x v="0"/>
    <s v="SNS-SN580"/>
    <s v="SNS-EX520-245"/>
    <s v="UCE_TJP"/>
    <n v="7"/>
    <n v="13.5"/>
    <n v="94.5"/>
    <s v="OB-PAF"/>
    <s v="M2W"/>
    <n v="2000"/>
    <s v="UCE_TJP"/>
    <n v="189000"/>
    <x v="0"/>
    <s v="18SNS-EX520-245SNSUCE_TJP1"/>
    <n v="0.16666666666666666"/>
    <s v="18SNS-SN580UCE_TJP1"/>
    <n v="1"/>
    <n v="189000"/>
    <s v="18SNS-SN580SNSSNS-EX520-2451"/>
    <n v="1"/>
    <s v="Week III"/>
    <s v="M2W"/>
    <s v="SNS-EX520-245SNS"/>
    <x v="0"/>
    <x v="2"/>
    <x v="2"/>
    <x v="0"/>
  </r>
  <r>
    <x v="16"/>
    <x v="0"/>
    <s v="SNS-SN603"/>
    <s v="SNS-EX520-245"/>
    <s v="UCE_TJP"/>
    <n v="7"/>
    <n v="13.5"/>
    <n v="94.5"/>
    <s v="OB-PAF"/>
    <s v="M2W"/>
    <n v="2000"/>
    <s v="UCE_TJP"/>
    <n v="189000"/>
    <x v="0"/>
    <s v="18SNS-EX520-245SNSUCE_TJP1"/>
    <n v="0.16666666666666666"/>
    <s v="18SNS-SN603UCE_TJP1"/>
    <n v="1"/>
    <n v="189000"/>
    <s v="18SNS-SN603SNSSNS-EX520-2451"/>
    <n v="1"/>
    <s v="Week III"/>
    <s v="M2W"/>
    <s v="SNS-EX520-245SNS"/>
    <x v="1"/>
    <x v="2"/>
    <x v="2"/>
    <x v="0"/>
  </r>
  <r>
    <x v="17"/>
    <x v="0"/>
    <s v="SNS-SN561"/>
    <s v="SNS-EX520-246"/>
    <s v="UCEX"/>
    <n v="17"/>
    <n v="13.5"/>
    <n v="229.5"/>
    <s v="OB-PAF"/>
    <s v="UEW_WEST"/>
    <n v="2000"/>
    <s v="PIT UCEX"/>
    <n v="459000"/>
    <x v="0"/>
    <s v="19SNS-EX520-246SNSPIT UCEX1"/>
    <n v="0.25"/>
    <s v="19SNS-SN561PIT UCEX1"/>
    <n v="1"/>
    <n v="459000"/>
    <s v="19SNS-SN561SNSSNS-EX520-2461"/>
    <n v="1"/>
    <s v="Week III"/>
    <s v="UEW"/>
    <s v="SNS-EX520-246SNS"/>
    <x v="0"/>
    <x v="1"/>
    <x v="1"/>
    <x v="0"/>
  </r>
  <r>
    <x v="17"/>
    <x v="0"/>
    <s v="SNS-SN582"/>
    <s v="SNS-EX520-246"/>
    <s v="UCEX"/>
    <n v="15"/>
    <n v="13.5"/>
    <n v="202.5"/>
    <s v="OB-PAF"/>
    <s v="UEW_WEST"/>
    <n v="2000"/>
    <s v="PIT UCEX"/>
    <n v="405000"/>
    <x v="0"/>
    <s v="19SNS-EX520-246SNSPIT UCEX1"/>
    <n v="0.25"/>
    <s v="19SNS-SN582PIT UCEX1"/>
    <n v="1"/>
    <n v="405000"/>
    <s v="19SNS-SN582SNSSNS-EX520-2461"/>
    <n v="1"/>
    <s v="Week III"/>
    <s v="UEW"/>
    <s v="SNS-EX520-246SNS"/>
    <x v="0"/>
    <x v="1"/>
    <x v="1"/>
    <x v="0"/>
  </r>
  <r>
    <x v="17"/>
    <x v="0"/>
    <s v="SNS-SN558"/>
    <s v="SNS-EX520-246"/>
    <s v="UCEX"/>
    <n v="18"/>
    <n v="13.5"/>
    <n v="243"/>
    <s v="OB-PAF"/>
    <s v="UEW_WEST"/>
    <n v="2000"/>
    <s v="PIT UCEX"/>
    <n v="486000"/>
    <x v="0"/>
    <s v="19SNS-EX520-246SNSPIT UCEX1"/>
    <n v="0.25"/>
    <s v="19SNS-SN558PIT UCEX1"/>
    <n v="1"/>
    <n v="486000"/>
    <s v="19SNS-SN558SNSSNS-EX520-2461"/>
    <n v="1"/>
    <s v="Week III"/>
    <s v="UEW"/>
    <s v="SNS-EX520-246SNS"/>
    <x v="0"/>
    <x v="1"/>
    <x v="1"/>
    <x v="0"/>
  </r>
  <r>
    <x v="17"/>
    <x v="0"/>
    <s v="SNS-SN574"/>
    <s v="SNS-EX520-246"/>
    <s v="UCEX"/>
    <n v="14"/>
    <n v="13.5"/>
    <n v="189"/>
    <s v="OB-PAF"/>
    <s v="UEW_WEST"/>
    <n v="2000"/>
    <s v="PIT UCEX"/>
    <n v="378000"/>
    <x v="0"/>
    <s v="19SNS-EX520-246SNSPIT UCEX1"/>
    <n v="0.25"/>
    <s v="19SNS-SN574PIT UCEX1"/>
    <n v="0.5"/>
    <n v="378000"/>
    <s v="19SNS-SN574SNSSNS-EX520-2461"/>
    <n v="1"/>
    <s v="Week III"/>
    <s v="UEW"/>
    <s v="SNS-EX520-246SNS"/>
    <x v="0"/>
    <x v="1"/>
    <x v="1"/>
    <x v="0"/>
  </r>
  <r>
    <x v="17"/>
    <x v="0"/>
    <s v="SNS-SN566"/>
    <s v="SNS-EX520-239"/>
    <s v="UCEX"/>
    <n v="15"/>
    <n v="13.5"/>
    <n v="202.5"/>
    <s v="OB-PAF"/>
    <s v="UEW_WEST"/>
    <n v="2000"/>
    <s v="PIT UCEX"/>
    <n v="405000"/>
    <x v="0"/>
    <s v="19SNS-EX520-239SNSPIT UCEX1"/>
    <n v="0.2"/>
    <s v="19SNS-SN566PIT UCEX1"/>
    <n v="1"/>
    <n v="405000"/>
    <s v="19SNS-SN566SNSSNS-EX520-2391"/>
    <n v="1"/>
    <s v="Week III"/>
    <s v="UEW"/>
    <s v="SNS-EX520-239SNS"/>
    <x v="0"/>
    <x v="1"/>
    <x v="1"/>
    <x v="0"/>
  </r>
  <r>
    <x v="17"/>
    <x v="0"/>
    <s v="SNS-SN559"/>
    <s v="SNS-EX520-239"/>
    <s v="UCEX"/>
    <n v="16"/>
    <n v="13.5"/>
    <n v="216"/>
    <s v="OB-PAF"/>
    <s v="UEW_WEST"/>
    <n v="2000"/>
    <s v="PIT UCEX"/>
    <n v="432000"/>
    <x v="0"/>
    <s v="19SNS-EX520-239SNSPIT UCEX1"/>
    <n v="0.2"/>
    <s v="19SNS-SN559PIT UCEX1"/>
    <n v="1"/>
    <n v="432000"/>
    <s v="19SNS-SN559SNSSNS-EX520-2391"/>
    <n v="1"/>
    <s v="Week III"/>
    <s v="UEW"/>
    <s v="SNS-EX520-239SNS"/>
    <x v="0"/>
    <x v="1"/>
    <x v="1"/>
    <x v="0"/>
  </r>
  <r>
    <x v="17"/>
    <x v="0"/>
    <s v="SNS-SN574"/>
    <s v="SNS-EX520-239"/>
    <s v="UCEX"/>
    <n v="2"/>
    <n v="13.5"/>
    <n v="27"/>
    <s v="OB-PAF"/>
    <s v="UEW_WEST"/>
    <n v="2000"/>
    <s v="PIT UCEX"/>
    <n v="54000"/>
    <x v="0"/>
    <s v="19SNS-EX520-239SNSPIT UCEX1"/>
    <n v="0.2"/>
    <s v="19SNS-SN574PIT UCEX1"/>
    <n v="0.5"/>
    <n v="54000"/>
    <s v="19SNS-SN574SNSSNS-EX520-2391"/>
    <n v="1"/>
    <s v="Week III"/>
    <s v="UEW"/>
    <s v="SNS-EX520-239SNS"/>
    <x v="0"/>
    <x v="1"/>
    <x v="1"/>
    <x v="0"/>
  </r>
  <r>
    <x v="17"/>
    <x v="0"/>
    <s v="SNS-SN569"/>
    <s v="SNS-EX520-239"/>
    <s v="UCEX"/>
    <n v="13"/>
    <n v="13.5"/>
    <n v="175.5"/>
    <s v="OB-PAF"/>
    <s v="UEW_WEST"/>
    <n v="2000"/>
    <s v="PIT UCEX"/>
    <n v="351000"/>
    <x v="0"/>
    <s v="19SNS-EX520-239SNSPIT UCEX1"/>
    <n v="0.2"/>
    <s v="19SNS-SN569PIT UCEX1"/>
    <n v="1"/>
    <n v="351000"/>
    <s v="19SNS-SN569SNSSNS-EX520-2391"/>
    <n v="1"/>
    <s v="Week III"/>
    <s v="UEW"/>
    <s v="SNS-EX520-239SNS"/>
    <x v="0"/>
    <x v="1"/>
    <x v="1"/>
    <x v="0"/>
  </r>
  <r>
    <x v="17"/>
    <x v="0"/>
    <s v="SNS-SN606"/>
    <s v="SNS-EX520-239"/>
    <s v="UCEX"/>
    <n v="9"/>
    <n v="13.5"/>
    <n v="121.5"/>
    <s v="OB-PAF"/>
    <s v="UEW_WEST"/>
    <n v="2000"/>
    <s v="PIT UCEX"/>
    <n v="243000"/>
    <x v="0"/>
    <s v="19SNS-EX520-239SNSPIT UCEX1"/>
    <n v="0.2"/>
    <s v="19SNS-SN606PIT UCEX1"/>
    <n v="1"/>
    <n v="243000"/>
    <s v="19SNS-SN606SNSSNS-EX520-2391"/>
    <n v="1"/>
    <s v="Week III"/>
    <s v="UEW"/>
    <s v="SNS-EX520-239SNS"/>
    <x v="1"/>
    <x v="1"/>
    <x v="1"/>
    <x v="0"/>
  </r>
  <r>
    <x v="17"/>
    <x v="0"/>
    <s v="SNS-SN609"/>
    <s v="SNS-EX520-248"/>
    <s v="UCEX"/>
    <n v="13"/>
    <n v="13.5"/>
    <n v="175.5"/>
    <s v="OB-PAF"/>
    <s v="UEW_WEST"/>
    <n v="2000"/>
    <s v="PIT UCEX"/>
    <n v="351000"/>
    <x v="0"/>
    <s v="19SNS-EX520-248SNSPIT UCEX1"/>
    <n v="0.25"/>
    <s v="19SNS-SN609PIT UCEX1"/>
    <n v="1"/>
    <n v="351000"/>
    <s v="19SNS-SN609SNSSNS-EX520-2481"/>
    <n v="1"/>
    <s v="Week III"/>
    <s v="UEW"/>
    <s v="SNS-EX520-248SNS"/>
    <x v="0"/>
    <x v="1"/>
    <x v="1"/>
    <x v="0"/>
  </r>
  <r>
    <x v="17"/>
    <x v="0"/>
    <s v="SNS-SN564"/>
    <s v="SNS-EX520-248"/>
    <s v="UCEX"/>
    <n v="15"/>
    <n v="13.5"/>
    <n v="202.5"/>
    <s v="OB-PAF"/>
    <s v="UEW_WEST"/>
    <n v="2000"/>
    <s v="PIT UCEX"/>
    <n v="405000"/>
    <x v="0"/>
    <s v="19SNS-EX520-248SNSPIT UCEX1"/>
    <n v="0.25"/>
    <s v="19SNS-SN564PIT UCEX1"/>
    <n v="1"/>
    <n v="405000"/>
    <s v="19SNS-SN564SNSSNS-EX520-2481"/>
    <n v="1"/>
    <s v="Week III"/>
    <s v="UEW"/>
    <s v="SNS-EX520-248SNS"/>
    <x v="0"/>
    <x v="1"/>
    <x v="1"/>
    <x v="0"/>
  </r>
  <r>
    <x v="17"/>
    <x v="0"/>
    <s v="SNS-SN557"/>
    <s v="SNS-EX520-248"/>
    <s v="UCEX"/>
    <n v="13"/>
    <n v="13.5"/>
    <n v="175.5"/>
    <s v="OB-PAF"/>
    <s v="UEW_WEST"/>
    <n v="2000"/>
    <s v="PIT UCEX"/>
    <n v="351000"/>
    <x v="0"/>
    <s v="19SNS-EX520-248SNSPIT UCEX1"/>
    <n v="0.25"/>
    <s v="19SNS-SN557PIT UCEX1"/>
    <n v="1"/>
    <n v="351000"/>
    <s v="19SNS-SN557SNSSNS-EX520-2481"/>
    <n v="1"/>
    <s v="Week III"/>
    <s v="UEW"/>
    <s v="SNS-EX520-248SNS"/>
    <x v="0"/>
    <x v="1"/>
    <x v="1"/>
    <x v="0"/>
  </r>
  <r>
    <x v="17"/>
    <x v="0"/>
    <s v="SNS-SN604"/>
    <s v="SNS-EX520-248"/>
    <s v="UCEX"/>
    <n v="11"/>
    <n v="13.5"/>
    <n v="148.5"/>
    <s v="OB-PAF"/>
    <s v="UEW_WEST"/>
    <n v="2000"/>
    <s v="PIT UCEX"/>
    <n v="297000"/>
    <x v="0"/>
    <s v="19SNS-EX520-248SNSPIT UCEX1"/>
    <n v="0.25"/>
    <s v="19SNS-SN604PIT UCEX1"/>
    <n v="1"/>
    <n v="297000"/>
    <s v="19SNS-SN604SNSSNS-EX520-2481"/>
    <n v="1"/>
    <s v="Week III"/>
    <s v="UEW"/>
    <s v="SNS-EX520-248SNS"/>
    <x v="1"/>
    <x v="1"/>
    <x v="1"/>
    <x v="0"/>
  </r>
  <r>
    <x v="17"/>
    <x v="0"/>
    <s v="SNS-SN603"/>
    <s v="SNS-EX520-245"/>
    <s v="UCE_TJP"/>
    <n v="9"/>
    <n v="13.5"/>
    <n v="121.5"/>
    <s v="OB-PAF"/>
    <s v="Ex_Illegal"/>
    <n v="3000"/>
    <s v="UCE_TJP"/>
    <n v="364500"/>
    <x v="0"/>
    <s v="19SNS-EX520-245SNSUCE_TJP1"/>
    <n v="0.16666666666666666"/>
    <s v="19SNS-SN603UCE_TJP1"/>
    <n v="1"/>
    <n v="364500"/>
    <s v="19SNS-SN603SNSSNS-EX520-2451"/>
    <n v="1"/>
    <s v="Week III"/>
    <s v="Ex_Illegal"/>
    <s v="SNS-EX520-245SNS"/>
    <x v="1"/>
    <x v="2"/>
    <x v="0"/>
    <x v="0"/>
  </r>
  <r>
    <x v="17"/>
    <x v="0"/>
    <s v="SNS-SN579"/>
    <s v="SNS-EX520-245"/>
    <s v="UCE_TJP"/>
    <n v="10"/>
    <n v="13.5"/>
    <n v="135"/>
    <s v="OB-PAF"/>
    <s v="Ex_Illegal"/>
    <n v="3000"/>
    <s v="UCE_TJP"/>
    <n v="405000"/>
    <x v="0"/>
    <s v="19SNS-EX520-245SNSUCE_TJP1"/>
    <n v="0.16666666666666666"/>
    <s v="19SNS-SN579UCE_TJP1"/>
    <n v="1"/>
    <n v="405000"/>
    <s v="19SNS-SN579SNSSNS-EX520-2451"/>
    <n v="1"/>
    <s v="Week III"/>
    <s v="Ex_Illegal"/>
    <s v="SNS-EX520-245SNS"/>
    <x v="0"/>
    <x v="2"/>
    <x v="0"/>
    <x v="0"/>
  </r>
  <r>
    <x v="17"/>
    <x v="0"/>
    <s v="SNS-SN563"/>
    <s v="SNS-EX520-245"/>
    <s v="UCE_TJP"/>
    <n v="10"/>
    <n v="13.5"/>
    <n v="135"/>
    <s v="OB-PAF"/>
    <s v="Ex_Illegal"/>
    <n v="3000"/>
    <s v="UCE_TJP"/>
    <n v="405000"/>
    <x v="0"/>
    <s v="19SNS-EX520-245SNSUCE_TJP1"/>
    <n v="0.16666666666666666"/>
    <s v="19SNS-SN563UCE_TJP1"/>
    <n v="1"/>
    <n v="405000"/>
    <s v="19SNS-SN563SNSSNS-EX520-2451"/>
    <n v="1"/>
    <s v="Week III"/>
    <s v="Ex_Illegal"/>
    <s v="SNS-EX520-245SNS"/>
    <x v="0"/>
    <x v="2"/>
    <x v="0"/>
    <x v="0"/>
  </r>
  <r>
    <x v="17"/>
    <x v="0"/>
    <s v="SNS-SN573"/>
    <s v="SNS-EX520-245"/>
    <s v="UCE_TJP"/>
    <n v="10"/>
    <n v="13.5"/>
    <n v="135"/>
    <s v="OB-PAF"/>
    <s v="Ex_Illegal"/>
    <n v="3000"/>
    <s v="UCE_TJP"/>
    <n v="405000"/>
    <x v="0"/>
    <s v="19SNS-EX520-245SNSUCE_TJP1"/>
    <n v="0.16666666666666666"/>
    <s v="19SNS-SN573UCE_TJP1"/>
    <n v="1"/>
    <n v="405000"/>
    <s v="19SNS-SN573SNSSNS-EX520-2451"/>
    <n v="1"/>
    <s v="Week III"/>
    <s v="Ex_Illegal"/>
    <s v="SNS-EX520-245SNS"/>
    <x v="0"/>
    <x v="2"/>
    <x v="0"/>
    <x v="0"/>
  </r>
  <r>
    <x v="17"/>
    <x v="0"/>
    <s v="SNS-SN560"/>
    <s v="SNS-EX520-245"/>
    <s v="UCE_TJP"/>
    <n v="8"/>
    <n v="13.5"/>
    <n v="108"/>
    <s v="OB-PAF"/>
    <s v="Ex_Illegal"/>
    <n v="3000"/>
    <s v="UCE_TJP"/>
    <n v="324000"/>
    <x v="0"/>
    <s v="19SNS-EX520-245SNSUCE_TJP1"/>
    <n v="0.16666666666666666"/>
    <s v="19SNS-SN560UCE_TJP1"/>
    <n v="1"/>
    <n v="324000"/>
    <s v="19SNS-SN560SNSSNS-EX520-2451"/>
    <n v="1"/>
    <s v="Week III"/>
    <s v="Ex_Illegal"/>
    <s v="SNS-EX520-245SNS"/>
    <x v="0"/>
    <x v="2"/>
    <x v="0"/>
    <x v="0"/>
  </r>
  <r>
    <x v="17"/>
    <x v="0"/>
    <s v="SNS-SN580"/>
    <s v="SNS-EX520-245"/>
    <s v="UCE_TJP"/>
    <n v="5"/>
    <n v="13.5"/>
    <n v="67.5"/>
    <s v="OB-PAF"/>
    <s v="Ex_Illegal"/>
    <n v="3000"/>
    <s v="UCE_TJP"/>
    <n v="202500"/>
    <x v="0"/>
    <s v="19SNS-EX520-245SNSUCE_TJP1"/>
    <n v="0.16666666666666666"/>
    <s v="19SNS-SN580UCE_TJP1"/>
    <n v="1"/>
    <n v="202500"/>
    <s v="19SNS-SN580SNSSNS-EX520-2451"/>
    <n v="1"/>
    <s v="Week III"/>
    <s v="Ex_Illegal"/>
    <s v="SNS-EX520-245SNS"/>
    <x v="0"/>
    <x v="2"/>
    <x v="0"/>
    <x v="0"/>
  </r>
  <r>
    <x v="18"/>
    <x v="0"/>
    <s v="SNS-SN609"/>
    <s v="SNS-EX520-246"/>
    <s v="UCEX"/>
    <n v="6"/>
    <n v="13.5"/>
    <n v="81"/>
    <s v="OB-PAF"/>
    <s v="UEW_WEST"/>
    <n v="2000"/>
    <s v="PIT UCEX"/>
    <n v="162000"/>
    <x v="0"/>
    <s v="20SNS-EX520-246SNSPIT UCEX1"/>
    <n v="0.2"/>
    <s v="20SNS-SN609PIT UCEX1"/>
    <n v="1"/>
    <n v="162000"/>
    <s v="20SNS-SN609SNSSNS-EX520-2461"/>
    <n v="1"/>
    <s v="Week IV"/>
    <s v="UEW"/>
    <s v="SNS-EX520-246SNS"/>
    <x v="0"/>
    <x v="1"/>
    <x v="1"/>
    <x v="0"/>
  </r>
  <r>
    <x v="18"/>
    <x v="0"/>
    <s v="SNS-SN567"/>
    <s v="SNS-EX520-246"/>
    <s v="UCEX"/>
    <n v="3"/>
    <n v="13.5"/>
    <n v="40.5"/>
    <s v="OB-PAF"/>
    <s v="UEW_WEST"/>
    <n v="2000"/>
    <s v="PIT UCEX"/>
    <n v="81000"/>
    <x v="0"/>
    <s v="20SNS-EX520-246SNSPIT UCEX1"/>
    <n v="0.2"/>
    <s v="20SNS-SN567PIT UCEX1"/>
    <n v="1"/>
    <n v="81000"/>
    <s v="20SNS-SN567SNSSNS-EX520-2461"/>
    <n v="1"/>
    <s v="Week IV"/>
    <s v="UEW"/>
    <s v="SNS-EX520-246SNS"/>
    <x v="0"/>
    <x v="1"/>
    <x v="1"/>
    <x v="0"/>
  </r>
  <r>
    <x v="18"/>
    <x v="0"/>
    <s v="SNS-SN561"/>
    <s v="SNS-EX520-246"/>
    <s v="UCEX"/>
    <n v="12"/>
    <n v="13.5"/>
    <n v="162"/>
    <s v="OB-PAF"/>
    <s v="UEW_WEST"/>
    <n v="2000"/>
    <s v="PIT UCEX"/>
    <n v="324000"/>
    <x v="0"/>
    <s v="20SNS-EX520-246SNSPIT UCEX1"/>
    <n v="0.2"/>
    <s v="20SNS-SN561PIT UCEX1"/>
    <n v="1"/>
    <n v="324000"/>
    <s v="20SNS-SN561SNSSNS-EX520-2461"/>
    <n v="1"/>
    <s v="Week IV"/>
    <s v="UEW"/>
    <s v="SNS-EX520-246SNS"/>
    <x v="0"/>
    <x v="1"/>
    <x v="1"/>
    <x v="0"/>
  </r>
  <r>
    <x v="18"/>
    <x v="0"/>
    <s v="SNS-SN558"/>
    <s v="SNS-EX520-246"/>
    <s v="UCEX"/>
    <n v="10"/>
    <n v="13.5"/>
    <n v="135"/>
    <s v="OB-PAF"/>
    <s v="UEW_WEST"/>
    <n v="2000"/>
    <s v="PIT UCEX"/>
    <n v="270000"/>
    <x v="0"/>
    <s v="20SNS-EX520-246SNSPIT UCEX1"/>
    <n v="0.2"/>
    <s v="20SNS-SN558PIT UCEX1"/>
    <n v="1"/>
    <n v="270000"/>
    <s v="20SNS-SN558SNSSNS-EX520-2461"/>
    <n v="1"/>
    <s v="Week IV"/>
    <s v="UEW"/>
    <s v="SNS-EX520-246SNS"/>
    <x v="0"/>
    <x v="1"/>
    <x v="1"/>
    <x v="0"/>
  </r>
  <r>
    <x v="18"/>
    <x v="0"/>
    <s v="SNS-SN574"/>
    <s v="SNS-EX520-246"/>
    <s v="UCEX"/>
    <n v="2"/>
    <n v="13.5"/>
    <n v="27"/>
    <s v="OB-PAF"/>
    <s v="UEW_WEST"/>
    <n v="2000"/>
    <s v="PIT UCEX"/>
    <n v="54000"/>
    <x v="0"/>
    <s v="20SNS-EX520-246SNSPIT UCEX1"/>
    <n v="0.2"/>
    <s v="20SNS-SN574PIT UCEX1"/>
    <n v="0.5"/>
    <n v="54000"/>
    <s v="20SNS-SN574SNSSNS-EX520-2461"/>
    <n v="1"/>
    <s v="Week IV"/>
    <s v="UEW"/>
    <s v="SNS-EX520-246SNS"/>
    <x v="0"/>
    <x v="1"/>
    <x v="1"/>
    <x v="0"/>
  </r>
  <r>
    <x v="18"/>
    <x v="0"/>
    <s v="SNS-SN566"/>
    <s v="SNS-EX520-239"/>
    <s v="UCEX"/>
    <n v="6"/>
    <n v="13.5"/>
    <n v="81"/>
    <s v="OB-PAF"/>
    <s v="UEW_WEST"/>
    <n v="2000"/>
    <s v="PIT UCEX"/>
    <n v="162000"/>
    <x v="0"/>
    <s v="20SNS-EX520-239SNSPIT UCEX1"/>
    <n v="0.25"/>
    <s v="20SNS-SN566PIT UCEX1"/>
    <n v="1"/>
    <n v="162000"/>
    <s v="20SNS-SN566SNSSNS-EX520-2391"/>
    <n v="1"/>
    <s v="Week IV"/>
    <s v="UEW"/>
    <s v="SNS-EX520-239SNS"/>
    <x v="0"/>
    <x v="1"/>
    <x v="1"/>
    <x v="0"/>
  </r>
  <r>
    <x v="18"/>
    <x v="0"/>
    <s v="SNS-SN604"/>
    <s v="SNS-EX520-239"/>
    <s v="UCEX"/>
    <n v="6"/>
    <n v="13.5"/>
    <n v="81"/>
    <s v="OB-PAF"/>
    <s v="UEW_WEST"/>
    <n v="2000"/>
    <s v="PIT UCEX"/>
    <n v="162000"/>
    <x v="0"/>
    <s v="20SNS-EX520-239SNSPIT UCEX1"/>
    <n v="0.25"/>
    <s v="20SNS-SN604PIT UCEX1"/>
    <n v="1"/>
    <n v="162000"/>
    <s v="20SNS-SN604SNSSNS-EX520-2391"/>
    <n v="1"/>
    <s v="Week IV"/>
    <s v="UEW"/>
    <s v="SNS-EX520-239SNS"/>
    <x v="1"/>
    <x v="1"/>
    <x v="1"/>
    <x v="0"/>
  </r>
  <r>
    <x v="18"/>
    <x v="0"/>
    <s v="SNS-SN582"/>
    <s v="SNS-EX520-239"/>
    <s v="UCEX"/>
    <n v="6"/>
    <n v="13.5"/>
    <n v="81"/>
    <s v="OB-PAF"/>
    <s v="UEW_WEST"/>
    <n v="2000"/>
    <s v="PIT UCEX"/>
    <n v="162000"/>
    <x v="0"/>
    <s v="20SNS-EX520-239SNSPIT UCEX1"/>
    <n v="0.25"/>
    <s v="20SNS-SN582PIT UCEX1"/>
    <n v="1"/>
    <n v="162000"/>
    <s v="20SNS-SN582SNSSNS-EX520-2391"/>
    <n v="1"/>
    <s v="Week IV"/>
    <s v="UEW"/>
    <s v="SNS-EX520-239SNS"/>
    <x v="0"/>
    <x v="1"/>
    <x v="1"/>
    <x v="0"/>
  </r>
  <r>
    <x v="18"/>
    <x v="0"/>
    <s v="SNS-SN574"/>
    <s v="SNS-EX520-239"/>
    <s v="UCEX"/>
    <n v="5"/>
    <n v="13.5"/>
    <n v="67.5"/>
    <s v="OB-PAF"/>
    <s v="UEW_WEST"/>
    <n v="2000"/>
    <s v="PIT UCEX"/>
    <n v="135000"/>
    <x v="0"/>
    <s v="20SNS-EX520-239SNSPIT UCEX1"/>
    <n v="0.25"/>
    <s v="20SNS-SN574PIT UCEX1"/>
    <n v="0.5"/>
    <n v="135000"/>
    <s v="20SNS-SN574SNSSNS-EX520-2391"/>
    <n v="1"/>
    <s v="Week IV"/>
    <s v="UEW"/>
    <s v="SNS-EX520-239SNS"/>
    <x v="0"/>
    <x v="1"/>
    <x v="1"/>
    <x v="0"/>
  </r>
  <r>
    <x v="18"/>
    <x v="0"/>
    <s v="SNS-SN568"/>
    <s v="SNS-EX520-248"/>
    <s v="UCEX"/>
    <n v="9"/>
    <n v="13.5"/>
    <n v="121.5"/>
    <s v="OB-PAF"/>
    <s v="UEW_WEST"/>
    <n v="2000"/>
    <s v="PIT UCEX"/>
    <n v="243000"/>
    <x v="0"/>
    <s v="20SNS-EX520-248SNSPIT UCEX1"/>
    <n v="0.33333333333333331"/>
    <s v="20SNS-SN568PIT UCEX1"/>
    <n v="1"/>
    <n v="243000"/>
    <s v="20SNS-SN568SNSSNS-EX520-2481"/>
    <n v="1"/>
    <s v="Week IV"/>
    <s v="UEW"/>
    <s v="SNS-EX520-248SNS"/>
    <x v="0"/>
    <x v="1"/>
    <x v="1"/>
    <x v="0"/>
  </r>
  <r>
    <x v="18"/>
    <x v="0"/>
    <s v="SNS-SN557"/>
    <s v="SNS-EX520-248"/>
    <s v="UCEX"/>
    <n v="8"/>
    <n v="13.5"/>
    <n v="108"/>
    <s v="OB-PAF"/>
    <s v="UEW_WEST"/>
    <n v="2000"/>
    <s v="PIT UCEX"/>
    <n v="216000"/>
    <x v="0"/>
    <s v="20SNS-EX520-248SNSPIT UCEX1"/>
    <n v="0.33333333333333331"/>
    <s v="20SNS-SN557PIT UCEX1"/>
    <n v="1"/>
    <n v="216000"/>
    <s v="20SNS-SN557SNSSNS-EX520-2481"/>
    <n v="1"/>
    <s v="Week IV"/>
    <s v="UEW"/>
    <s v="SNS-EX520-248SNS"/>
    <x v="0"/>
    <x v="1"/>
    <x v="1"/>
    <x v="0"/>
  </r>
  <r>
    <x v="18"/>
    <x v="0"/>
    <s v="SNS-SN606"/>
    <s v="SNS-EX520-248"/>
    <s v="UCEX"/>
    <n v="7"/>
    <n v="13.5"/>
    <n v="94.5"/>
    <s v="OB-PAF"/>
    <s v="UEW_WEST"/>
    <n v="2000"/>
    <s v="PIT UCEX"/>
    <n v="189000"/>
    <x v="0"/>
    <s v="20SNS-EX520-248SNSPIT UCEX1"/>
    <n v="0.33333333333333331"/>
    <s v="20SNS-SN606PIT UCEX1"/>
    <n v="1"/>
    <n v="189000"/>
    <s v="20SNS-SN606SNSSNS-EX520-2481"/>
    <n v="1"/>
    <s v="Week IV"/>
    <s v="UEW"/>
    <s v="SNS-EX520-248SNS"/>
    <x v="1"/>
    <x v="1"/>
    <x v="1"/>
    <x v="0"/>
  </r>
  <r>
    <x v="18"/>
    <x v="0"/>
    <s v="SNS-SN608"/>
    <s v="SNS-EX520-245"/>
    <s v="UCE_TJP"/>
    <n v="5"/>
    <n v="13.5"/>
    <n v="67.5"/>
    <s v="OB-PAF"/>
    <s v="Ex_Illegal"/>
    <n v="3000"/>
    <s v="UCE_TJP"/>
    <n v="202500"/>
    <x v="0"/>
    <s v="20SNS-EX520-245SNSUCE_TJP1"/>
    <n v="0.25"/>
    <s v="20SNS-SN608UCE_TJP1"/>
    <n v="1"/>
    <n v="202500"/>
    <s v="20SNS-SN608SNSSNS-EX520-2451"/>
    <n v="1"/>
    <s v="Week IV"/>
    <s v="Ex_Illegal"/>
    <s v="SNS-EX520-245SNS"/>
    <x v="0"/>
    <x v="2"/>
    <x v="0"/>
    <x v="0"/>
  </r>
  <r>
    <x v="18"/>
    <x v="0"/>
    <s v="SNS-SN573"/>
    <s v="SNS-EX520-245"/>
    <s v="UCE_TJP"/>
    <n v="6"/>
    <n v="13.5"/>
    <n v="81"/>
    <s v="OB-PAF"/>
    <s v="Ex_Illegal"/>
    <n v="3000"/>
    <s v="UCE_TJP"/>
    <n v="243000"/>
    <x v="0"/>
    <s v="20SNS-EX520-245SNSUCE_TJP1"/>
    <n v="0.25"/>
    <s v="20SNS-SN573UCE_TJP1"/>
    <n v="1"/>
    <n v="243000"/>
    <s v="20SNS-SN573SNSSNS-EX520-2451"/>
    <n v="1"/>
    <s v="Week IV"/>
    <s v="Ex_Illegal"/>
    <s v="SNS-EX520-245SNS"/>
    <x v="0"/>
    <x v="2"/>
    <x v="0"/>
    <x v="0"/>
  </r>
  <r>
    <x v="18"/>
    <x v="0"/>
    <s v="SNS-SN572"/>
    <s v="SNS-EX520-245"/>
    <s v="UCE_TJP"/>
    <n v="3"/>
    <n v="13.5"/>
    <n v="40.5"/>
    <s v="OB-PAF"/>
    <s v="Ex_Illegal"/>
    <n v="3000"/>
    <s v="UCE_TJP"/>
    <n v="121500"/>
    <x v="0"/>
    <s v="20SNS-EX520-245SNSUCE_TJP1"/>
    <n v="0.25"/>
    <s v="20SNS-SN572UCE_TJP1"/>
    <n v="1"/>
    <n v="121500"/>
    <s v="20SNS-SN572SNSSNS-EX520-2451"/>
    <n v="1"/>
    <s v="Week IV"/>
    <s v="Ex_Illegal"/>
    <s v="SNS-EX520-245SNS"/>
    <x v="0"/>
    <x v="2"/>
    <x v="0"/>
    <x v="0"/>
  </r>
  <r>
    <x v="18"/>
    <x v="0"/>
    <s v="SNS-SN563"/>
    <s v="SNS-EX520-245"/>
    <s v="UCE_TJP"/>
    <n v="6"/>
    <n v="13.5"/>
    <n v="81"/>
    <s v="OB-PAF"/>
    <s v="Ex_Illegal"/>
    <n v="3000"/>
    <s v="UCE_TJP"/>
    <n v="243000"/>
    <x v="0"/>
    <s v="20SNS-EX520-245SNSUCE_TJP1"/>
    <n v="0.25"/>
    <s v="20SNS-SN563UCE_TJP1"/>
    <n v="1"/>
    <n v="243000"/>
    <s v="20SNS-SN563SNSSNS-EX520-2451"/>
    <n v="1"/>
    <s v="Week IV"/>
    <s v="Ex_Illegal"/>
    <s v="SNS-EX520-245SNS"/>
    <x v="0"/>
    <x v="2"/>
    <x v="0"/>
    <x v="0"/>
  </r>
  <r>
    <x v="18"/>
    <x v="0"/>
    <s v="SNS-SN603"/>
    <s v="SNS-EX500-241"/>
    <s v="UCE_TJP"/>
    <n v="6"/>
    <n v="13.5"/>
    <n v="81"/>
    <s v="OB-PAF"/>
    <s v="Ex_Illegal"/>
    <n v="2600"/>
    <s v="UCE_TJP"/>
    <n v="210600"/>
    <x v="0"/>
    <s v="20SNS-EX500-241SNSUCE_TJP1"/>
    <n v="0.25"/>
    <s v="20SNS-SN603UCE_TJP1"/>
    <n v="1"/>
    <n v="210600"/>
    <s v="20SNS-SN603SNSSNS-EX500-2411"/>
    <n v="1"/>
    <s v="Week IV"/>
    <s v="Ex_Illegal"/>
    <s v="SNS-EX500-241SNS"/>
    <x v="1"/>
    <x v="2"/>
    <x v="0"/>
    <x v="0"/>
  </r>
  <r>
    <x v="18"/>
    <x v="0"/>
    <s v="SNS-SN579"/>
    <s v="SNS-EX500-241"/>
    <s v="UCE_TJP"/>
    <n v="6"/>
    <n v="13.5"/>
    <n v="81"/>
    <s v="OB-PAF"/>
    <s v="Ex_Illegal"/>
    <n v="2600"/>
    <s v="UCE_TJP"/>
    <n v="210600"/>
    <x v="0"/>
    <s v="20SNS-EX500-241SNSUCE_TJP1"/>
    <n v="0.25"/>
    <s v="20SNS-SN579UCE_TJP1"/>
    <n v="1"/>
    <n v="210600"/>
    <s v="20SNS-SN579SNSSNS-EX500-2411"/>
    <n v="1"/>
    <s v="Week IV"/>
    <s v="Ex_Illegal"/>
    <s v="SNS-EX500-241SNS"/>
    <x v="0"/>
    <x v="2"/>
    <x v="0"/>
    <x v="0"/>
  </r>
  <r>
    <x v="18"/>
    <x v="0"/>
    <s v="SNS-SN559"/>
    <s v="SNS-EX500-241"/>
    <s v="UCE_TJP"/>
    <n v="6"/>
    <n v="13.5"/>
    <n v="81"/>
    <s v="OB-PAF"/>
    <s v="Ex_Illegal"/>
    <n v="2600"/>
    <s v="UCE_TJP"/>
    <n v="210600"/>
    <x v="0"/>
    <s v="20SNS-EX500-241SNSUCE_TJP1"/>
    <n v="0.25"/>
    <s v="20SNS-SN559UCE_TJP1"/>
    <n v="1"/>
    <n v="210600"/>
    <s v="20SNS-SN559SNSSNS-EX500-2411"/>
    <n v="1"/>
    <s v="Week IV"/>
    <s v="Ex_Illegal"/>
    <s v="SNS-EX500-241SNS"/>
    <x v="0"/>
    <x v="2"/>
    <x v="0"/>
    <x v="0"/>
  </r>
  <r>
    <x v="18"/>
    <x v="0"/>
    <s v="SNS-SN564"/>
    <s v="SNS-EX500-241"/>
    <s v="UCE_TJP"/>
    <n v="6"/>
    <n v="13.5"/>
    <n v="81"/>
    <s v="OB-PAF"/>
    <s v="Ex_Illegal"/>
    <n v="2600"/>
    <s v="UCE_TJP"/>
    <n v="210600"/>
    <x v="0"/>
    <s v="20SNS-EX500-241SNSUCE_TJP1"/>
    <n v="0.25"/>
    <s v="20SNS-SN564UCE_TJP1"/>
    <n v="1"/>
    <n v="210600"/>
    <s v="20SNS-SN564SNSSNS-EX500-2411"/>
    <n v="1"/>
    <s v="Week IV"/>
    <s v="Ex_Illegal"/>
    <s v="SNS-EX500-241SNS"/>
    <x v="0"/>
    <x v="2"/>
    <x v="0"/>
    <x v="0"/>
  </r>
  <r>
    <x v="19"/>
    <x v="0"/>
    <s v="SNS-SN560"/>
    <s v="SNS-EX500-241"/>
    <s v="UCE_TJP"/>
    <n v="9"/>
    <n v="13.5"/>
    <n v="121.5"/>
    <s v="OB-PAF"/>
    <s v="Ex_Illegal"/>
    <n v="3000"/>
    <s v="UCE_TJP"/>
    <n v="364500"/>
    <x v="0"/>
    <s v="21SNS-EX500-241SNSUCE_TJP1"/>
    <n v="0.14285714285714285"/>
    <s v="21SNS-SN560UCE_TJP1"/>
    <n v="1"/>
    <n v="364500"/>
    <s v="21SNS-SN560SNSSNS-EX500-2411"/>
    <n v="1"/>
    <s v="Week IV"/>
    <s v="Ex_Illegal"/>
    <s v="SNS-EX500-241SNS"/>
    <x v="0"/>
    <x v="2"/>
    <x v="0"/>
    <x v="0"/>
  </r>
  <r>
    <x v="19"/>
    <x v="0"/>
    <s v="SNS-SN603"/>
    <s v="SNS-EX500-241"/>
    <s v="UCE_TJP"/>
    <n v="7"/>
    <n v="13.5"/>
    <n v="94.5"/>
    <s v="OB-PAF"/>
    <s v="Ex_Illegal"/>
    <n v="3000"/>
    <s v="UCE_TJP"/>
    <n v="283500"/>
    <x v="0"/>
    <s v="21SNS-EX500-241SNSUCE_TJP1"/>
    <n v="0.14285714285714285"/>
    <s v="21SNS-SN603UCE_TJP1"/>
    <n v="1"/>
    <n v="283500"/>
    <s v="21SNS-SN603SNSSNS-EX500-2411"/>
    <n v="1"/>
    <s v="Week IV"/>
    <s v="Ex_Illegal"/>
    <s v="SNS-EX500-241SNS"/>
    <x v="1"/>
    <x v="2"/>
    <x v="0"/>
    <x v="0"/>
  </r>
  <r>
    <x v="19"/>
    <x v="0"/>
    <s v="SNS-SN579"/>
    <s v="SNS-EX500-241"/>
    <s v="UCE_TJP"/>
    <n v="8"/>
    <n v="13.5"/>
    <n v="108"/>
    <s v="OB-PAF"/>
    <s v="Ex_Illegal"/>
    <n v="3000"/>
    <s v="UCE_TJP"/>
    <n v="324000"/>
    <x v="0"/>
    <s v="21SNS-EX500-241SNSUCE_TJP1"/>
    <n v="0.14285714285714285"/>
    <s v="21SNS-SN579UCE_TJP1"/>
    <n v="1"/>
    <n v="324000"/>
    <s v="21SNS-SN579SNSSNS-EX500-2411"/>
    <n v="1"/>
    <s v="Week IV"/>
    <s v="Ex_Illegal"/>
    <s v="SNS-EX500-241SNS"/>
    <x v="0"/>
    <x v="2"/>
    <x v="0"/>
    <x v="0"/>
  </r>
  <r>
    <x v="19"/>
    <x v="0"/>
    <s v="SNS-SN559"/>
    <s v="SNS-EX500-241"/>
    <s v="UCE_TJP"/>
    <n v="7"/>
    <n v="13.5"/>
    <n v="94.5"/>
    <s v="OB-PAF"/>
    <s v="Ex_Illegal"/>
    <n v="3000"/>
    <s v="UCE_TJP"/>
    <n v="283500"/>
    <x v="0"/>
    <s v="21SNS-EX500-241SNSUCE_TJP1"/>
    <n v="0.14285714285714285"/>
    <s v="21SNS-SN559UCE_TJP1"/>
    <n v="1"/>
    <n v="283500"/>
    <s v="21SNS-SN559SNSSNS-EX500-2411"/>
    <n v="1"/>
    <s v="Week IV"/>
    <s v="Ex_Illegal"/>
    <s v="SNS-EX500-241SNS"/>
    <x v="0"/>
    <x v="2"/>
    <x v="0"/>
    <x v="0"/>
  </r>
  <r>
    <x v="19"/>
    <x v="0"/>
    <s v="SNS-SN563"/>
    <s v="SNS-EX500-241"/>
    <s v="UCE_TJP"/>
    <n v="6"/>
    <n v="13.5"/>
    <n v="81"/>
    <s v="OB-PAF"/>
    <s v="Ex_Illegal"/>
    <n v="3000"/>
    <s v="UCE_TJP"/>
    <n v="243000"/>
    <x v="0"/>
    <s v="21SNS-EX500-241SNSUCE_TJP1"/>
    <n v="0.14285714285714285"/>
    <s v="21SNS-SN563UCE_TJP1"/>
    <n v="1"/>
    <n v="243000"/>
    <s v="21SNS-SN563SNSSNS-EX500-2411"/>
    <n v="1"/>
    <s v="Week IV"/>
    <s v="Ex_Illegal"/>
    <s v="SNS-EX500-241SNS"/>
    <x v="0"/>
    <x v="2"/>
    <x v="0"/>
    <x v="0"/>
  </r>
  <r>
    <x v="19"/>
    <x v="0"/>
    <s v="SNS-SN572"/>
    <s v="SNS-EX500-241"/>
    <s v="UCE_TJP"/>
    <n v="6"/>
    <n v="13.5"/>
    <n v="81"/>
    <s v="OB-PAF"/>
    <s v="Ex_Illegal"/>
    <n v="3000"/>
    <s v="UCE_TJP"/>
    <n v="243000"/>
    <x v="0"/>
    <s v="21SNS-EX500-241SNSUCE_TJP1"/>
    <n v="0.14285714285714285"/>
    <s v="21SNS-SN572UCE_TJP1"/>
    <n v="1"/>
    <n v="243000"/>
    <s v="21SNS-SN572SNSSNS-EX500-2411"/>
    <n v="1"/>
    <s v="Week IV"/>
    <s v="Ex_Illegal"/>
    <s v="SNS-EX500-241SNS"/>
    <x v="0"/>
    <x v="2"/>
    <x v="0"/>
    <x v="0"/>
  </r>
  <r>
    <x v="19"/>
    <x v="0"/>
    <s v="SNS-SN564"/>
    <s v="SNS-EX500-241"/>
    <s v="UCE_TJP"/>
    <n v="1"/>
    <n v="13.5"/>
    <n v="13.5"/>
    <s v="OB-PAF"/>
    <s v="Ex_Illegal"/>
    <n v="3000"/>
    <s v="UCE_TJP"/>
    <n v="40500"/>
    <x v="0"/>
    <s v="21SNS-EX500-241SNSUCE_TJP1"/>
    <n v="0.14285714285714285"/>
    <s v="21SNS-SN564UCE_TJP1"/>
    <n v="1"/>
    <n v="40500"/>
    <s v="21SNS-SN564SNSSNS-EX500-2411"/>
    <n v="1"/>
    <s v="Week IV"/>
    <s v="Ex_Illegal"/>
    <s v="SNS-EX500-241SNS"/>
    <x v="0"/>
    <x v="2"/>
    <x v="0"/>
    <x v="0"/>
  </r>
  <r>
    <x v="19"/>
    <x v="0"/>
    <s v="SNS-SN609"/>
    <s v="SNS-EX520-239"/>
    <s v="UCEX"/>
    <n v="3"/>
    <n v="13.5"/>
    <n v="40.5"/>
    <s v="OB-PAF"/>
    <s v="UEW_WEST"/>
    <n v="2000"/>
    <s v="PIT UCEX"/>
    <n v="81000"/>
    <x v="0"/>
    <s v="21SNS-EX520-239SNSPIT UCEX1"/>
    <n v="0.25"/>
    <s v="21SNS-SN609PIT UCEX1"/>
    <n v="1"/>
    <n v="81000"/>
    <s v="21SNS-SN609SNSSNS-EX520-2391"/>
    <n v="1"/>
    <s v="Week IV"/>
    <s v="UEW"/>
    <s v="SNS-EX520-239SNS"/>
    <x v="0"/>
    <x v="1"/>
    <x v="1"/>
    <x v="0"/>
  </r>
  <r>
    <x v="19"/>
    <x v="0"/>
    <s v="SNS-SN604"/>
    <s v="SNS-EX520-239"/>
    <s v="UCEX"/>
    <n v="4"/>
    <n v="13.5"/>
    <n v="54"/>
    <s v="OB-PAF"/>
    <s v="UEW_WEST"/>
    <n v="2000"/>
    <s v="PIT UCEX"/>
    <n v="108000"/>
    <x v="0"/>
    <s v="21SNS-EX520-239SNSPIT UCEX1"/>
    <n v="0.25"/>
    <s v="21SNS-SN604PIT UCEX1"/>
    <n v="1"/>
    <n v="108000"/>
    <s v="21SNS-SN604SNSSNS-EX520-2391"/>
    <n v="1"/>
    <s v="Week IV"/>
    <s v="UEW"/>
    <s v="SNS-EX520-239SNS"/>
    <x v="1"/>
    <x v="1"/>
    <x v="1"/>
    <x v="0"/>
  </r>
  <r>
    <x v="19"/>
    <x v="0"/>
    <s v="SNS-SN574"/>
    <s v="SNS-EX520-239"/>
    <s v="UCEX"/>
    <n v="4"/>
    <n v="13.5"/>
    <n v="54"/>
    <s v="OB-PAF"/>
    <s v="UEW_WEST"/>
    <n v="2000"/>
    <s v="PIT UCEX"/>
    <n v="108000"/>
    <x v="0"/>
    <s v="21SNS-EX520-239SNSPIT UCEX1"/>
    <n v="0.25"/>
    <s v="21SNS-SN574PIT UCEX1"/>
    <n v="1"/>
    <n v="108000"/>
    <s v="21SNS-SN574SNSSNS-EX520-2391"/>
    <n v="1"/>
    <s v="Week IV"/>
    <s v="UEW"/>
    <s v="SNS-EX520-239SNS"/>
    <x v="0"/>
    <x v="1"/>
    <x v="1"/>
    <x v="0"/>
  </r>
  <r>
    <x v="19"/>
    <x v="0"/>
    <s v="SNS-SN557"/>
    <s v="SNS-EX520-239"/>
    <s v="UCEX"/>
    <n v="3"/>
    <n v="13.5"/>
    <n v="40.5"/>
    <s v="OB-PAF"/>
    <s v="UEW_WEST"/>
    <n v="2000"/>
    <s v="PIT UCEX"/>
    <n v="81000"/>
    <x v="0"/>
    <s v="21SNS-EX520-239SNSPIT UCEX1"/>
    <n v="0.25"/>
    <s v="21SNS-SN557PIT UCEX1"/>
    <n v="1"/>
    <n v="81000"/>
    <s v="21SNS-SN557SNSSNS-EX520-2391"/>
    <n v="1"/>
    <s v="Week IV"/>
    <s v="UEW"/>
    <s v="SNS-EX520-239SNS"/>
    <x v="0"/>
    <x v="1"/>
    <x v="1"/>
    <x v="0"/>
  </r>
  <r>
    <x v="19"/>
    <x v="0"/>
    <s v="SNS-SN566"/>
    <s v="SNS-EX520-246"/>
    <s v="UCEX"/>
    <n v="8"/>
    <n v="13.5"/>
    <n v="108"/>
    <s v="OB-PAF"/>
    <s v="UEW_WEST"/>
    <n v="2000"/>
    <s v="PIT UCEX"/>
    <n v="216000"/>
    <x v="0"/>
    <s v="21SNS-EX520-246SNSPIT UCEX1"/>
    <n v="0.33333333333333331"/>
    <s v="21SNS-SN566PIT UCEX1"/>
    <n v="1"/>
    <n v="216000"/>
    <s v="21SNS-SN566SNSSNS-EX520-2461"/>
    <n v="1"/>
    <s v="Week IV"/>
    <s v="UEW"/>
    <s v="SNS-EX520-246SNS"/>
    <x v="0"/>
    <x v="1"/>
    <x v="1"/>
    <x v="0"/>
  </r>
  <r>
    <x v="19"/>
    <x v="0"/>
    <s v="SNS-SN561"/>
    <s v="SNS-EX520-246"/>
    <s v="UCEX"/>
    <n v="8"/>
    <n v="13.5"/>
    <n v="108"/>
    <s v="OB-PAF"/>
    <s v="UEW_WEST"/>
    <n v="2000"/>
    <s v="PIT UCEX"/>
    <n v="216000"/>
    <x v="0"/>
    <s v="21SNS-EX520-246SNSPIT UCEX1"/>
    <n v="0.33333333333333331"/>
    <s v="21SNS-SN561PIT UCEX1"/>
    <n v="1"/>
    <n v="216000"/>
    <s v="21SNS-SN561SNSSNS-EX520-2461"/>
    <n v="1"/>
    <s v="Week IV"/>
    <s v="UEW"/>
    <s v="SNS-EX520-246SNS"/>
    <x v="0"/>
    <x v="1"/>
    <x v="1"/>
    <x v="0"/>
  </r>
  <r>
    <x v="19"/>
    <x v="0"/>
    <s v="SNS-SN568"/>
    <s v="SNS-EX520-246"/>
    <s v="UCEX"/>
    <n v="8"/>
    <n v="13.5"/>
    <n v="108"/>
    <s v="OB-PAF"/>
    <s v="UEW_WEST"/>
    <n v="2000"/>
    <s v="PIT UCEX"/>
    <n v="216000"/>
    <x v="0"/>
    <s v="21SNS-EX520-246SNSPIT UCEX1"/>
    <n v="0.33333333333333331"/>
    <s v="21SNS-SN568PIT UCEX1"/>
    <n v="1"/>
    <n v="216000"/>
    <s v="21SNS-SN568SNSSNS-EX520-2461"/>
    <n v="1"/>
    <s v="Week IV"/>
    <s v="UEW"/>
    <s v="SNS-EX520-246SNS"/>
    <x v="0"/>
    <x v="1"/>
    <x v="1"/>
    <x v="0"/>
  </r>
  <r>
    <x v="19"/>
    <x v="0"/>
    <s v="SNS-SN582"/>
    <s v="SNS-EX520-248"/>
    <s v="UCEX"/>
    <n v="7"/>
    <n v="13.5"/>
    <n v="94.5"/>
    <s v="OB-PAF"/>
    <s v="UEW_WEST"/>
    <n v="2000"/>
    <s v="PIT UCEX"/>
    <n v="189000"/>
    <x v="0"/>
    <s v="21SNS-EX520-248SNSPIT UCEX1"/>
    <n v="0.33333333333333331"/>
    <s v="21SNS-SN582PIT UCEX1"/>
    <n v="1"/>
    <n v="189000"/>
    <s v="21SNS-SN582SNSSNS-EX520-2481"/>
    <n v="1"/>
    <s v="Week IV"/>
    <s v="UEW"/>
    <s v="SNS-EX520-248SNS"/>
    <x v="0"/>
    <x v="1"/>
    <x v="1"/>
    <x v="0"/>
  </r>
  <r>
    <x v="19"/>
    <x v="0"/>
    <s v="SNS-SN569"/>
    <s v="SNS-EX520-248"/>
    <s v="UCEX"/>
    <n v="6"/>
    <n v="13.5"/>
    <n v="81"/>
    <s v="OB-PAF"/>
    <s v="UEW_WEST"/>
    <n v="2000"/>
    <s v="PIT UCEX"/>
    <n v="162000"/>
    <x v="0"/>
    <s v="21SNS-EX520-248SNSPIT UCEX1"/>
    <n v="0.33333333333333331"/>
    <s v="21SNS-SN569PIT UCEX1"/>
    <n v="1"/>
    <n v="162000"/>
    <s v="21SNS-SN569SNSSNS-EX520-2481"/>
    <n v="1"/>
    <s v="Week IV"/>
    <s v="UEW"/>
    <s v="SNS-EX520-248SNS"/>
    <x v="0"/>
    <x v="1"/>
    <x v="1"/>
    <x v="0"/>
  </r>
  <r>
    <x v="19"/>
    <x v="0"/>
    <s v="SNS-SN606"/>
    <s v="SNS-EX520-248"/>
    <s v="UCEX"/>
    <n v="7"/>
    <n v="13.5"/>
    <n v="94.5"/>
    <s v="OB-PAF"/>
    <s v="UEW_WEST"/>
    <n v="2000"/>
    <s v="PIT UCEX"/>
    <n v="189000"/>
    <x v="0"/>
    <s v="21SNS-EX520-248SNSPIT UCEX1"/>
    <n v="0.33333333333333331"/>
    <s v="21SNS-SN606PIT UCEX1"/>
    <n v="1"/>
    <n v="189000"/>
    <s v="21SNS-SN606SNSSNS-EX520-2481"/>
    <n v="1"/>
    <s v="Week IV"/>
    <s v="UEW"/>
    <s v="SNS-EX520-248SNS"/>
    <x v="1"/>
    <x v="1"/>
    <x v="1"/>
    <x v="0"/>
  </r>
  <r>
    <x v="20"/>
    <x v="0"/>
    <s v="SNS-SN563"/>
    <s v="SNS-EX520-245"/>
    <s v="UCE_TJP"/>
    <n v="2"/>
    <n v="13.5"/>
    <n v="27"/>
    <s v="OB-PAF"/>
    <s v="Ex_Illegal"/>
    <n v="3000"/>
    <s v="UCE_TJP"/>
    <n v="81000"/>
    <x v="0"/>
    <s v="22SNS-EX520-245SNSUCE_TJP1"/>
    <n v="0.25"/>
    <s v="22SNS-SN563UCE_TJP1"/>
    <n v="1"/>
    <n v="81000"/>
    <s v="22SNS-SN563SNSSNS-EX520-2451"/>
    <n v="1"/>
    <s v="Week IV"/>
    <s v="Ex_Illegal"/>
    <s v="SNS-EX520-245SNS"/>
    <x v="0"/>
    <x v="2"/>
    <x v="0"/>
    <x v="0"/>
  </r>
  <r>
    <x v="20"/>
    <x v="0"/>
    <s v="SNS-SN572"/>
    <s v="SNS-EX520-245"/>
    <s v="UCE_TJP"/>
    <n v="2"/>
    <n v="13.5"/>
    <n v="27"/>
    <s v="OB-PAF"/>
    <s v="Ex_Illegal"/>
    <n v="3000"/>
    <s v="UCE_TJP"/>
    <n v="81000"/>
    <x v="0"/>
    <s v="22SNS-EX520-245SNSUCE_TJP1"/>
    <n v="0.25"/>
    <s v="22SNS-SN572UCE_TJP1"/>
    <n v="1"/>
    <n v="81000"/>
    <s v="22SNS-SN572SNSSNS-EX520-2451"/>
    <n v="1"/>
    <s v="Week IV"/>
    <s v="Ex_Illegal"/>
    <s v="SNS-EX520-245SNS"/>
    <x v="0"/>
    <x v="2"/>
    <x v="0"/>
    <x v="0"/>
  </r>
  <r>
    <x v="20"/>
    <x v="0"/>
    <s v="SNS-SN579"/>
    <s v="SNS-EX520-245"/>
    <s v="UCE_TJP"/>
    <n v="2"/>
    <n v="13.5"/>
    <n v="27"/>
    <s v="OB-PAF"/>
    <s v="Ex_Illegal"/>
    <n v="3000"/>
    <s v="UCE_TJP"/>
    <n v="81000"/>
    <x v="0"/>
    <s v="22SNS-EX520-245SNSUCE_TJP1"/>
    <n v="0.25"/>
    <s v="22SNS-SN579UCE_TJP1"/>
    <n v="1"/>
    <n v="81000"/>
    <s v="22SNS-SN579SNSSNS-EX520-2451"/>
    <n v="1"/>
    <s v="Week IV"/>
    <s v="Ex_Illegal"/>
    <s v="SNS-EX520-245SNS"/>
    <x v="0"/>
    <x v="2"/>
    <x v="0"/>
    <x v="0"/>
  </r>
  <r>
    <x v="20"/>
    <x v="0"/>
    <s v="SNS-SN560"/>
    <s v="SNS-EX520-245"/>
    <s v="UCE_TJP"/>
    <n v="1"/>
    <n v="13.5"/>
    <n v="13.5"/>
    <s v="OB-PAF"/>
    <s v="Ex_Illegal"/>
    <n v="3000"/>
    <s v="UCE_TJP"/>
    <n v="40500"/>
    <x v="0"/>
    <s v="22SNS-EX520-245SNSUCE_TJP1"/>
    <n v="0.25"/>
    <s v="22SNS-SN560UCE_TJP1"/>
    <n v="1"/>
    <n v="40500"/>
    <s v="22SNS-SN560SNSSNS-EX520-2451"/>
    <n v="1"/>
    <s v="Week IV"/>
    <s v="Ex_Illegal"/>
    <s v="SNS-EX520-245SNS"/>
    <x v="0"/>
    <x v="2"/>
    <x v="0"/>
    <x v="0"/>
  </r>
  <r>
    <x v="20"/>
    <x v="0"/>
    <s v="SNS-SN559"/>
    <s v="SNS-EX500-241"/>
    <s v="UCE_TJP"/>
    <n v="1"/>
    <n v="13.5"/>
    <n v="13.5"/>
    <s v="OB-PAF"/>
    <s v="Ex_Illegal"/>
    <n v="3000"/>
    <s v="UCE_TJP"/>
    <n v="40500"/>
    <x v="0"/>
    <s v="22SNS-EX500-241SNSUCE_TJP1"/>
    <n v="0.25"/>
    <s v="22SNS-SN559UCE_TJP1"/>
    <n v="1"/>
    <n v="40500"/>
    <s v="22SNS-SN559SNSSNS-EX500-2411"/>
    <n v="1"/>
    <s v="Week IV"/>
    <s v="Ex_Illegal"/>
    <s v="SNS-EX500-241SNS"/>
    <x v="0"/>
    <x v="2"/>
    <x v="0"/>
    <x v="0"/>
  </r>
  <r>
    <x v="20"/>
    <x v="0"/>
    <s v="SNS-SN573"/>
    <s v="SNS-EX500-241"/>
    <s v="UCE_TJP"/>
    <n v="1"/>
    <n v="13.5"/>
    <n v="13.5"/>
    <s v="OB-PAF"/>
    <s v="Ex_Illegal"/>
    <n v="3000"/>
    <s v="UCE_TJP"/>
    <n v="40500"/>
    <x v="0"/>
    <s v="22SNS-EX500-241SNSUCE_TJP1"/>
    <n v="0.25"/>
    <s v="22SNS-SN573UCE_TJP1"/>
    <n v="1"/>
    <n v="40500"/>
    <s v="22SNS-SN573SNSSNS-EX500-2411"/>
    <n v="1"/>
    <s v="Week IV"/>
    <s v="Ex_Illegal"/>
    <s v="SNS-EX500-241SNS"/>
    <x v="0"/>
    <x v="2"/>
    <x v="0"/>
    <x v="0"/>
  </r>
  <r>
    <x v="20"/>
    <x v="0"/>
    <s v="SNS-SN564"/>
    <s v="SNS-EX500-241"/>
    <s v="UCE_TJP"/>
    <n v="1"/>
    <n v="13.5"/>
    <n v="13.5"/>
    <s v="OB-PAF"/>
    <s v="Ex_Illegal"/>
    <n v="3000"/>
    <s v="UCE_TJP"/>
    <n v="40500"/>
    <x v="0"/>
    <s v="22SNS-EX500-241SNSUCE_TJP1"/>
    <n v="0.25"/>
    <s v="22SNS-SN564UCE_TJP1"/>
    <n v="1"/>
    <n v="40500"/>
    <s v="22SNS-SN564SNSSNS-EX500-2411"/>
    <n v="1"/>
    <s v="Week IV"/>
    <s v="Ex_Illegal"/>
    <s v="SNS-EX500-241SNS"/>
    <x v="0"/>
    <x v="2"/>
    <x v="0"/>
    <x v="0"/>
  </r>
  <r>
    <x v="20"/>
    <x v="0"/>
    <s v="SNS-SN603"/>
    <s v="SNS-EX500-241"/>
    <s v="UCE_TJP"/>
    <n v="1"/>
    <n v="13.5"/>
    <n v="13.5"/>
    <s v="OB-PAF"/>
    <s v="Ex_Illegal"/>
    <n v="3000"/>
    <s v="UCE_TJP"/>
    <n v="40500"/>
    <x v="0"/>
    <s v="22SNS-EX500-241SNSUCE_TJP1"/>
    <n v="0.25"/>
    <s v="22SNS-SN603UCE_TJP1"/>
    <n v="1"/>
    <n v="40500"/>
    <s v="22SNS-SN603SNSSNS-EX500-2411"/>
    <n v="1"/>
    <s v="Week IV"/>
    <s v="Ex_Illegal"/>
    <s v="SNS-EX500-241SNS"/>
    <x v="1"/>
    <x v="2"/>
    <x v="0"/>
    <x v="0"/>
  </r>
  <r>
    <x v="20"/>
    <x v="0"/>
    <s v="SNS-SN557"/>
    <s v="SNS-EX520-248"/>
    <s v="UCEX"/>
    <n v="6"/>
    <n v="13.5"/>
    <n v="81"/>
    <s v="OB-PAF"/>
    <s v="UEW_WEST"/>
    <n v="2000"/>
    <s v="PIT UCEX"/>
    <n v="162000"/>
    <x v="0"/>
    <s v="22SNS-EX520-248SNSPIT UCEX1"/>
    <n v="0.33333333333333331"/>
    <s v="22SNS-SN557PIT UCEX1"/>
    <n v="1"/>
    <n v="162000"/>
    <s v="22SNS-SN557SNSSNS-EX520-2481"/>
    <n v="1"/>
    <s v="Week IV"/>
    <s v="UEW"/>
    <s v="SNS-EX520-248SNS"/>
    <x v="0"/>
    <x v="1"/>
    <x v="1"/>
    <x v="0"/>
  </r>
  <r>
    <x v="20"/>
    <x v="0"/>
    <s v="SNS-SN569"/>
    <s v="SNS-EX520-248"/>
    <s v="UCEX"/>
    <n v="3"/>
    <n v="13.5"/>
    <n v="40.5"/>
    <s v="OB-PAF"/>
    <s v="UEW_WEST"/>
    <n v="2000"/>
    <s v="PIT UCEX"/>
    <n v="81000"/>
    <x v="0"/>
    <s v="22SNS-EX520-248SNSPIT UCEX1"/>
    <n v="0.33333333333333331"/>
    <s v="22SNS-SN569PIT UCEX1"/>
    <n v="1"/>
    <n v="81000"/>
    <s v="22SNS-SN569SNSSNS-EX520-2481"/>
    <n v="1"/>
    <s v="Week IV"/>
    <s v="UEW"/>
    <s v="SNS-EX520-248SNS"/>
    <x v="0"/>
    <x v="1"/>
    <x v="1"/>
    <x v="0"/>
  </r>
  <r>
    <x v="20"/>
    <x v="0"/>
    <s v="SNS-SN582"/>
    <s v="SNS-EX520-248"/>
    <s v="UCEX"/>
    <n v="4"/>
    <n v="13.5"/>
    <n v="54"/>
    <s v="OB-PAF"/>
    <s v="UEW_WEST"/>
    <n v="2000"/>
    <s v="PIT UCEX"/>
    <n v="108000"/>
    <x v="0"/>
    <s v="22SNS-EX520-248SNSPIT UCEX1"/>
    <n v="0.33333333333333331"/>
    <s v="22SNS-SN582PIT UCEX1"/>
    <n v="1"/>
    <n v="108000"/>
    <s v="22SNS-SN582SNSSNS-EX520-2481"/>
    <n v="1"/>
    <s v="Week IV"/>
    <s v="UEW"/>
    <s v="SNS-EX520-248SNS"/>
    <x v="0"/>
    <x v="1"/>
    <x v="1"/>
    <x v="0"/>
  </r>
  <r>
    <x v="20"/>
    <x v="0"/>
    <s v="SNS-SN606"/>
    <s v="SNS-EX520-239"/>
    <s v="UCEX"/>
    <n v="2"/>
    <n v="13.5"/>
    <n v="27"/>
    <s v="OB-PAF"/>
    <s v="UEW_WEST"/>
    <n v="2200"/>
    <s v="PIT UCEX"/>
    <n v="59400"/>
    <x v="0"/>
    <s v="22SNS-EX520-239SNSPIT UCEX1"/>
    <n v="0.2"/>
    <s v="22SNS-SN606PIT UCEX1"/>
    <n v="1"/>
    <n v="59400"/>
    <s v="22SNS-SN606SNSSNS-EX520-2391"/>
    <n v="1"/>
    <s v="Week IV"/>
    <s v="UEW"/>
    <s v="SNS-EX520-239SNS"/>
    <x v="1"/>
    <x v="1"/>
    <x v="1"/>
    <x v="0"/>
  </r>
  <r>
    <x v="20"/>
    <x v="0"/>
    <s v="SNS-SN574"/>
    <s v="SNS-EX520-239"/>
    <s v="UCEX"/>
    <n v="2"/>
    <n v="13.5"/>
    <n v="27"/>
    <s v="OB-PAF"/>
    <s v="UEW_WEST"/>
    <n v="2200"/>
    <s v="PIT UCEX"/>
    <n v="59400"/>
    <x v="0"/>
    <s v="22SNS-EX520-239SNSPIT UCEX1"/>
    <n v="0.2"/>
    <s v="22SNS-SN574PIT UCEX1"/>
    <n v="1"/>
    <n v="59400"/>
    <s v="22SNS-SN574SNSSNS-EX520-2391"/>
    <n v="1"/>
    <s v="Week IV"/>
    <s v="UEW"/>
    <s v="SNS-EX520-239SNS"/>
    <x v="0"/>
    <x v="1"/>
    <x v="1"/>
    <x v="0"/>
  </r>
  <r>
    <x v="20"/>
    <x v="0"/>
    <s v="SNS-SN605"/>
    <s v="SNS-EX520-239"/>
    <s v="UCEX"/>
    <n v="3"/>
    <n v="13.5"/>
    <n v="40.5"/>
    <s v="OB-PAF"/>
    <s v="UEW_WEST"/>
    <n v="2200"/>
    <s v="PIT UCEX"/>
    <n v="89100"/>
    <x v="0"/>
    <s v="22SNS-EX520-239SNSPIT UCEX1"/>
    <n v="0.2"/>
    <s v="22SNS-SN605PIT UCEX1"/>
    <n v="1"/>
    <n v="89100"/>
    <s v="22SNS-SN605SNSSNS-EX520-2391"/>
    <n v="1"/>
    <s v="Week IV"/>
    <s v="UEW"/>
    <s v="SNS-EX520-239SNS"/>
    <x v="1"/>
    <x v="1"/>
    <x v="1"/>
    <x v="0"/>
  </r>
  <r>
    <x v="20"/>
    <x v="0"/>
    <s v="SNS-SN608"/>
    <s v="SNS-EX520-239"/>
    <s v="UCEX"/>
    <n v="3"/>
    <n v="13.5"/>
    <n v="40.5"/>
    <s v="OB-PAF"/>
    <s v="UEW_WEST"/>
    <n v="2200"/>
    <s v="PIT UCEX"/>
    <n v="89100"/>
    <x v="0"/>
    <s v="22SNS-EX520-239SNSPIT UCEX1"/>
    <n v="0.2"/>
    <s v="22SNS-SN608PIT UCEX1"/>
    <n v="1"/>
    <n v="89100"/>
    <s v="22SNS-SN608SNSSNS-EX520-2391"/>
    <n v="1"/>
    <s v="Week IV"/>
    <s v="UEW"/>
    <s v="SNS-EX520-239SNS"/>
    <x v="0"/>
    <x v="1"/>
    <x v="1"/>
    <x v="0"/>
  </r>
  <r>
    <x v="20"/>
    <x v="0"/>
    <s v="SNS-SN609"/>
    <s v="SNS-EX520-239"/>
    <s v="UCEX"/>
    <n v="4"/>
    <n v="13.5"/>
    <n v="54"/>
    <s v="OB-PAF"/>
    <s v="UEW_WEST"/>
    <n v="2200"/>
    <s v="PIT UCEX"/>
    <n v="118800"/>
    <x v="0"/>
    <s v="22SNS-EX520-239SNSPIT UCEX1"/>
    <n v="0.2"/>
    <s v="22SNS-SN609PIT UCEX1"/>
    <n v="1"/>
    <n v="118800"/>
    <s v="22SNS-SN609SNSSNS-EX520-2391"/>
    <n v="1"/>
    <s v="Week IV"/>
    <s v="UEW"/>
    <s v="SNS-EX520-239SNS"/>
    <x v="0"/>
    <x v="1"/>
    <x v="1"/>
    <x v="0"/>
  </r>
  <r>
    <x v="20"/>
    <x v="0"/>
    <s v="SNS-SN566"/>
    <s v="SNS-EX520-246"/>
    <s v="UCEX"/>
    <n v="8"/>
    <n v="13.5"/>
    <n v="108"/>
    <s v="OB-PAF"/>
    <s v="UEW_WEST"/>
    <n v="2000"/>
    <s v="PIT UCEX"/>
    <n v="216000"/>
    <x v="0"/>
    <s v="22SNS-EX520-246SNSPIT UCEX1"/>
    <n v="0.33333333333333331"/>
    <s v="22SNS-SN566PIT UCEX1"/>
    <n v="1"/>
    <n v="216000"/>
    <s v="22SNS-SN566SNSSNS-EX520-2461"/>
    <n v="1"/>
    <s v="Week IV"/>
    <s v="UEW"/>
    <s v="SNS-EX520-246SNS"/>
    <x v="0"/>
    <x v="1"/>
    <x v="1"/>
    <x v="0"/>
  </r>
  <r>
    <x v="20"/>
    <x v="0"/>
    <s v="SNS-SN604"/>
    <s v="SNS-EX520-246"/>
    <s v="UCEX"/>
    <n v="7"/>
    <n v="13.5"/>
    <n v="94.5"/>
    <s v="OB-PAF"/>
    <s v="UEW_WEST"/>
    <n v="2000"/>
    <s v="PIT UCEX"/>
    <n v="189000"/>
    <x v="0"/>
    <s v="22SNS-EX520-246SNSPIT UCEX1"/>
    <n v="0.33333333333333331"/>
    <s v="22SNS-SN604PIT UCEX1"/>
    <n v="1"/>
    <n v="189000"/>
    <s v="22SNS-SN604SNSSNS-EX520-2461"/>
    <n v="1"/>
    <s v="Week IV"/>
    <s v="UEW"/>
    <s v="SNS-EX520-246SNS"/>
    <x v="1"/>
    <x v="1"/>
    <x v="1"/>
    <x v="0"/>
  </r>
  <r>
    <x v="20"/>
    <x v="0"/>
    <s v="SNS-SN558"/>
    <s v="SNS-EX520-246"/>
    <s v="UCEX"/>
    <n v="7"/>
    <n v="13.5"/>
    <n v="94.5"/>
    <s v="OB-PAF"/>
    <s v="UEW_WEST"/>
    <n v="2000"/>
    <s v="PIT UCEX"/>
    <n v="189000"/>
    <x v="0"/>
    <s v="22SNS-EX520-246SNSPIT UCEX1"/>
    <n v="0.33333333333333331"/>
    <s v="22SNS-SN558PIT UCEX1"/>
    <n v="1"/>
    <n v="189000"/>
    <s v="22SNS-SN558SNSSNS-EX520-2461"/>
    <n v="1"/>
    <s v="Week IV"/>
    <s v="UEW"/>
    <s v="SNS-EX520-246SNS"/>
    <x v="0"/>
    <x v="1"/>
    <x v="1"/>
    <x v="0"/>
  </r>
  <r>
    <x v="21"/>
    <x v="0"/>
    <s v="SNS-SN569"/>
    <s v="SNS-EX520-248"/>
    <s v="UCEX"/>
    <n v="15"/>
    <n v="13.5"/>
    <n v="202.5"/>
    <s v="OB-PAF"/>
    <s v="UEW_WEST"/>
    <n v="2000"/>
    <s v="PIT UCEX"/>
    <n v="405000"/>
    <x v="0"/>
    <s v="23SNS-EX520-248SNSPIT UCEX1"/>
    <n v="0.33333333333333331"/>
    <s v="23SNS-SN569PIT UCEX1"/>
    <n v="1"/>
    <n v="405000"/>
    <s v="23SNS-SN569SNSSNS-EX520-2481"/>
    <n v="1"/>
    <s v="Week IV"/>
    <s v="UEW"/>
    <s v="SNS-EX520-248SNS"/>
    <x v="0"/>
    <x v="1"/>
    <x v="1"/>
    <x v="0"/>
  </r>
  <r>
    <x v="21"/>
    <x v="0"/>
    <s v="SNS-SN557"/>
    <s v="SNS-EX520-248"/>
    <s v="UCEX"/>
    <n v="14"/>
    <n v="13.5"/>
    <n v="189"/>
    <s v="OB-PAF"/>
    <s v="UEW_WEST"/>
    <n v="2000"/>
    <s v="PIT UCEX"/>
    <n v="378000"/>
    <x v="0"/>
    <s v="23SNS-EX520-248SNSPIT UCEX1"/>
    <n v="0.33333333333333331"/>
    <s v="23SNS-SN557PIT UCEX1"/>
    <n v="1"/>
    <n v="378000"/>
    <s v="23SNS-SN557SNSSNS-EX520-2481"/>
    <n v="1"/>
    <s v="Week IV"/>
    <s v="UEW"/>
    <s v="SNS-EX520-248SNS"/>
    <x v="0"/>
    <x v="1"/>
    <x v="1"/>
    <x v="0"/>
  </r>
  <r>
    <x v="21"/>
    <x v="0"/>
    <s v="SNS-SN604"/>
    <s v="SNS-EX520-248"/>
    <s v="UCEX"/>
    <n v="18"/>
    <n v="13.5"/>
    <n v="243"/>
    <s v="OB-PAF"/>
    <s v="UEW_WEST"/>
    <n v="2000"/>
    <s v="PIT UCEX"/>
    <n v="486000"/>
    <x v="0"/>
    <s v="23SNS-EX520-248SNSPIT UCEX1"/>
    <n v="0.33333333333333331"/>
    <s v="23SNS-SN604PIT UCEX1"/>
    <n v="1"/>
    <n v="486000"/>
    <s v="23SNS-SN604SNSSNS-EX520-2481"/>
    <n v="1"/>
    <s v="Week IV"/>
    <s v="UEW"/>
    <s v="SNS-EX520-248SNS"/>
    <x v="1"/>
    <x v="1"/>
    <x v="1"/>
    <x v="0"/>
  </r>
  <r>
    <x v="21"/>
    <x v="0"/>
    <s v="SNS-SN574"/>
    <s v="SNS-EX520-239"/>
    <s v="UCEX"/>
    <n v="18"/>
    <n v="13.5"/>
    <n v="243"/>
    <s v="OB-PAF"/>
    <s v="UEW_WEST"/>
    <n v="2000"/>
    <s v="PIT UCEX"/>
    <n v="486000"/>
    <x v="0"/>
    <s v="23SNS-EX520-239SNSPIT UCEX1"/>
    <n v="0.25"/>
    <s v="23SNS-SN574PIT UCEX1"/>
    <n v="1"/>
    <n v="486000"/>
    <s v="23SNS-SN574SNSSNS-EX520-2391"/>
    <n v="1"/>
    <s v="Week IV"/>
    <s v="UEW"/>
    <s v="SNS-EX520-239SNS"/>
    <x v="0"/>
    <x v="1"/>
    <x v="1"/>
    <x v="0"/>
  </r>
  <r>
    <x v="21"/>
    <x v="0"/>
    <s v="SNS-SN608"/>
    <s v="SNS-EX520-239"/>
    <s v="UCEX"/>
    <n v="17"/>
    <n v="13.5"/>
    <n v="229.5"/>
    <s v="OB-PAF"/>
    <s v="UEW_WEST"/>
    <n v="2000"/>
    <s v="PIT UCEX"/>
    <n v="459000"/>
    <x v="0"/>
    <s v="23SNS-EX520-239SNSPIT UCEX1"/>
    <n v="0.25"/>
    <s v="23SNS-SN608PIT UCEX1"/>
    <n v="1"/>
    <n v="459000"/>
    <s v="23SNS-SN608SNSSNS-EX520-2391"/>
    <n v="1"/>
    <s v="Week IV"/>
    <s v="UEW"/>
    <s v="SNS-EX520-239SNS"/>
    <x v="0"/>
    <x v="1"/>
    <x v="1"/>
    <x v="0"/>
  </r>
  <r>
    <x v="21"/>
    <x v="0"/>
    <s v="SNS-SN582"/>
    <s v="SNS-EX520-239"/>
    <s v="UCEX"/>
    <n v="15"/>
    <n v="13.5"/>
    <n v="202.5"/>
    <s v="OB-PAF"/>
    <s v="UEW_WEST"/>
    <n v="2000"/>
    <s v="PIT UCEX"/>
    <n v="405000"/>
    <x v="0"/>
    <s v="23SNS-EX520-239SNSPIT UCEX1"/>
    <n v="0.25"/>
    <s v="23SNS-SN582PIT UCEX1"/>
    <n v="1"/>
    <n v="405000"/>
    <s v="23SNS-SN582SNSSNS-EX520-2391"/>
    <n v="1"/>
    <s v="Week IV"/>
    <s v="UEW"/>
    <s v="SNS-EX520-239SNS"/>
    <x v="0"/>
    <x v="1"/>
    <x v="1"/>
    <x v="0"/>
  </r>
  <r>
    <x v="21"/>
    <x v="0"/>
    <s v="SNS-SN566"/>
    <s v="SNS-EX520-239"/>
    <s v="UCEX"/>
    <n v="17"/>
    <n v="13.5"/>
    <n v="229.5"/>
    <s v="OB-PAF"/>
    <s v="UEW_WEST"/>
    <n v="2000"/>
    <s v="PIT UCEX"/>
    <n v="459000"/>
    <x v="0"/>
    <s v="23SNS-EX520-239SNSPIT UCEX1"/>
    <n v="0.25"/>
    <s v="23SNS-SN566PIT UCEX1"/>
    <n v="1"/>
    <n v="459000"/>
    <s v="23SNS-SN566SNSSNS-EX520-2391"/>
    <n v="1"/>
    <s v="Week IV"/>
    <s v="UEW"/>
    <s v="SNS-EX520-239SNS"/>
    <x v="0"/>
    <x v="1"/>
    <x v="1"/>
    <x v="0"/>
  </r>
  <r>
    <x v="21"/>
    <x v="0"/>
    <s v="SNS-SN568"/>
    <s v="SNS-EX520-246"/>
    <s v="UCEX"/>
    <n v="17"/>
    <n v="13.5"/>
    <n v="229.5"/>
    <s v="OB-PAF"/>
    <s v="UEW_WEST"/>
    <n v="2000"/>
    <s v="PIT UCEX"/>
    <n v="459000"/>
    <x v="0"/>
    <s v="23SNS-EX520-246SNSPIT UCEX1"/>
    <n v="0.33333333333333331"/>
    <s v="23SNS-SN568PIT UCEX1"/>
    <n v="1"/>
    <n v="459000"/>
    <s v="23SNS-SN568SNSSNS-EX520-2461"/>
    <n v="1"/>
    <s v="Week IV"/>
    <s v="UEW"/>
    <s v="SNS-EX520-246SNS"/>
    <x v="0"/>
    <x v="1"/>
    <x v="1"/>
    <x v="0"/>
  </r>
  <r>
    <x v="21"/>
    <x v="0"/>
    <s v="SNS-SN609"/>
    <s v="SNS-EX520-246"/>
    <s v="UCEX"/>
    <n v="17"/>
    <n v="13.5"/>
    <n v="229.5"/>
    <s v="OB-PAF"/>
    <s v="UEW_WEST"/>
    <n v="2000"/>
    <s v="PIT UCEX"/>
    <n v="459000"/>
    <x v="0"/>
    <s v="23SNS-EX520-246SNSPIT UCEX1"/>
    <n v="0.33333333333333331"/>
    <s v="23SNS-SN609PIT UCEX1"/>
    <n v="1"/>
    <n v="459000"/>
    <s v="23SNS-SN609SNSSNS-EX520-2461"/>
    <n v="1"/>
    <s v="Week IV"/>
    <s v="UEW"/>
    <s v="SNS-EX520-246SNS"/>
    <x v="0"/>
    <x v="1"/>
    <x v="1"/>
    <x v="0"/>
  </r>
  <r>
    <x v="21"/>
    <x v="0"/>
    <s v="SNS-SN561"/>
    <s v="SNS-EX520-246"/>
    <s v="UCEX"/>
    <n v="18"/>
    <n v="13.5"/>
    <n v="243"/>
    <s v="OB-PAF"/>
    <s v="UEW_WEST"/>
    <n v="2000"/>
    <s v="PIT UCEX"/>
    <n v="486000"/>
    <x v="0"/>
    <s v="23SNS-EX520-246SNSPIT UCEX1"/>
    <n v="0.33333333333333331"/>
    <s v="23SNS-SN561PIT UCEX1"/>
    <n v="1"/>
    <n v="486000"/>
    <s v="23SNS-SN561SNSSNS-EX520-2461"/>
    <n v="1"/>
    <s v="Week IV"/>
    <s v="UEW"/>
    <s v="SNS-EX520-246SNS"/>
    <x v="0"/>
    <x v="1"/>
    <x v="1"/>
    <x v="0"/>
  </r>
  <r>
    <x v="21"/>
    <x v="0"/>
    <s v="SNS-SN573"/>
    <s v="SNS-EX500-241"/>
    <s v="UCE_TJP"/>
    <n v="16"/>
    <n v="13.5"/>
    <n v="216"/>
    <s v="OB-PAF"/>
    <s v="Ex_Illegal"/>
    <n v="3000"/>
    <s v="UCE_TJP"/>
    <n v="648000"/>
    <x v="0"/>
    <s v="23SNS-EX500-241SNSUCE_TJP1"/>
    <n v="0.25"/>
    <s v="23SNS-SN573UCE_TJP1"/>
    <n v="1"/>
    <n v="648000"/>
    <s v="23SNS-SN573SNSSNS-EX500-2411"/>
    <n v="1"/>
    <s v="Week IV"/>
    <s v="Ex_Illegal"/>
    <s v="SNS-EX500-241SNS"/>
    <x v="0"/>
    <x v="2"/>
    <x v="0"/>
    <x v="0"/>
  </r>
  <r>
    <x v="21"/>
    <x v="0"/>
    <s v="SNS-SN603"/>
    <s v="SNS-EX500-241"/>
    <s v="UCE_TJP"/>
    <n v="15"/>
    <n v="13.5"/>
    <n v="202.5"/>
    <s v="OB-PAF"/>
    <s v="Ex_Illegal"/>
    <n v="3000"/>
    <s v="UCE_TJP"/>
    <n v="607500"/>
    <x v="0"/>
    <s v="23SNS-EX500-241SNSUCE_TJP1"/>
    <n v="0.25"/>
    <s v="23SNS-SN603UCE_TJP1"/>
    <n v="1"/>
    <n v="607500"/>
    <s v="23SNS-SN603SNSSNS-EX500-2411"/>
    <n v="1"/>
    <s v="Week IV"/>
    <s v="Ex_Illegal"/>
    <s v="SNS-EX500-241SNS"/>
    <x v="1"/>
    <x v="2"/>
    <x v="0"/>
    <x v="0"/>
  </r>
  <r>
    <x v="21"/>
    <x v="0"/>
    <s v="SNS-SN560"/>
    <s v="SNS-EX500-241"/>
    <s v="UCE_TJP"/>
    <n v="16"/>
    <n v="13.5"/>
    <n v="216"/>
    <s v="OB-PAF"/>
    <s v="Ex_Illegal"/>
    <n v="3000"/>
    <s v="UCE_TJP"/>
    <n v="648000"/>
    <x v="0"/>
    <s v="23SNS-EX500-241SNSUCE_TJP1"/>
    <n v="0.25"/>
    <s v="23SNS-SN560UCE_TJP1"/>
    <n v="1"/>
    <n v="648000"/>
    <s v="23SNS-SN560SNSSNS-EX500-2411"/>
    <n v="1"/>
    <s v="Week IV"/>
    <s v="Ex_Illegal"/>
    <s v="SNS-EX500-241SNS"/>
    <x v="0"/>
    <x v="2"/>
    <x v="0"/>
    <x v="0"/>
  </r>
  <r>
    <x v="21"/>
    <x v="0"/>
    <s v="SNS-SN563"/>
    <s v="SNS-EX500-241"/>
    <s v="UCE_TJP"/>
    <n v="15"/>
    <n v="13.5"/>
    <n v="202.5"/>
    <s v="OB-PAF"/>
    <s v="Ex_Illegal"/>
    <n v="3000"/>
    <s v="UCE_TJP"/>
    <n v="607500"/>
    <x v="0"/>
    <s v="23SNS-EX500-241SNSUCE_TJP1"/>
    <n v="0.25"/>
    <s v="23SNS-SN563UCE_TJP1"/>
    <n v="1"/>
    <n v="607500"/>
    <s v="23SNS-SN563SNSSNS-EX500-2411"/>
    <n v="1"/>
    <s v="Week IV"/>
    <s v="Ex_Illegal"/>
    <s v="SNS-EX500-241SNS"/>
    <x v="0"/>
    <x v="2"/>
    <x v="0"/>
    <x v="0"/>
  </r>
  <r>
    <x v="21"/>
    <x v="0"/>
    <s v="SNS-SN579"/>
    <s v="SNS-EX520-245"/>
    <s v="UCE_TJP"/>
    <n v="7"/>
    <n v="13.5"/>
    <n v="94.5"/>
    <s v="OB-PAF"/>
    <s v="Ex_Illegal"/>
    <n v="3000"/>
    <s v="UCE_TJP"/>
    <n v="283500"/>
    <x v="0"/>
    <s v="23SNS-EX520-245SNSUCE_TJP1"/>
    <n v="0.25"/>
    <s v="23SNS-SN579UCE_TJP1"/>
    <n v="1"/>
    <n v="283500"/>
    <s v="23SNS-SN579SNSSNS-EX520-2451"/>
    <n v="1"/>
    <s v="Week IV"/>
    <s v="Ex_Illegal"/>
    <s v="SNS-EX520-245SNS"/>
    <x v="0"/>
    <x v="2"/>
    <x v="0"/>
    <x v="0"/>
  </r>
  <r>
    <x v="21"/>
    <x v="0"/>
    <s v="SNS-SN565"/>
    <s v="SNS-EX520-245"/>
    <s v="UCE_TJP"/>
    <n v="6"/>
    <n v="13.5"/>
    <n v="81"/>
    <s v="OB-PAF"/>
    <s v="Ex_Illegal"/>
    <n v="3000"/>
    <s v="UCE_TJP"/>
    <n v="243000"/>
    <x v="0"/>
    <s v="23SNS-EX520-245SNSUCE_TJP1"/>
    <n v="0.25"/>
    <s v="23SNS-SN565UCE_TJP1"/>
    <n v="1"/>
    <n v="243000"/>
    <s v="23SNS-SN565SNSSNS-EX520-2451"/>
    <n v="1"/>
    <s v="Week IV"/>
    <s v="Ex_Illegal"/>
    <s v="SNS-EX520-245SNS"/>
    <x v="0"/>
    <x v="2"/>
    <x v="0"/>
    <x v="0"/>
  </r>
  <r>
    <x v="21"/>
    <x v="0"/>
    <s v="SNS-SN564"/>
    <s v="SNS-EX520-245"/>
    <s v="UCE_TJP"/>
    <n v="6"/>
    <n v="13.5"/>
    <n v="81"/>
    <s v="OB-PAF"/>
    <s v="Ex_Illegal"/>
    <n v="3000"/>
    <s v="UCE_TJP"/>
    <n v="243000"/>
    <x v="0"/>
    <s v="23SNS-EX520-245SNSUCE_TJP1"/>
    <n v="0.25"/>
    <s v="23SNS-SN564UCE_TJP1"/>
    <n v="1"/>
    <n v="243000"/>
    <s v="23SNS-SN564SNSSNS-EX520-2451"/>
    <n v="1"/>
    <s v="Week IV"/>
    <s v="Ex_Illegal"/>
    <s v="SNS-EX520-245SNS"/>
    <x v="0"/>
    <x v="2"/>
    <x v="0"/>
    <x v="0"/>
  </r>
  <r>
    <x v="21"/>
    <x v="0"/>
    <s v="SNS-SN559"/>
    <s v="SNS-EX520-245"/>
    <s v="UCE_TJP"/>
    <n v="6"/>
    <n v="13.5"/>
    <n v="81"/>
    <s v="OB-PAF"/>
    <s v="Ex_Illegal"/>
    <n v="3000"/>
    <s v="UCE_TJP"/>
    <n v="243000"/>
    <x v="0"/>
    <s v="23SNS-EX520-245SNSUCE_TJP1"/>
    <n v="0.25"/>
    <s v="23SNS-SN559UCE_TJP1"/>
    <n v="1"/>
    <n v="243000"/>
    <s v="23SNS-SN559SNSSNS-EX520-2451"/>
    <n v="1"/>
    <s v="Week IV"/>
    <s v="Ex_Illegal"/>
    <s v="SNS-EX520-245SNS"/>
    <x v="0"/>
    <x v="2"/>
    <x v="0"/>
    <x v="0"/>
  </r>
  <r>
    <x v="22"/>
    <x v="0"/>
    <s v="SNS-SN573"/>
    <s v="SNS-EX500-241"/>
    <s v="UCE_TJP"/>
    <n v="10"/>
    <n v="13.5"/>
    <n v="135"/>
    <s v="OB-PAF"/>
    <s v="Ex_Illegal"/>
    <n v="3000"/>
    <s v="UCE_TJP"/>
    <n v="405000"/>
    <x v="0"/>
    <s v="25SNS-EX500-241SNSUCE_TJP1"/>
    <n v="0.16666666666666666"/>
    <s v="25SNS-SN573UCE_TJP1"/>
    <n v="1"/>
    <n v="405000"/>
    <s v="25SNS-SN573SNSSNS-EX500-2411"/>
    <n v="1"/>
    <s v="Week IV"/>
    <s v="Ex_Illegal"/>
    <s v="SNS-EX500-241SNS"/>
    <x v="0"/>
    <x v="2"/>
    <x v="0"/>
    <x v="0"/>
  </r>
  <r>
    <x v="22"/>
    <x v="0"/>
    <s v="SNS-SN563"/>
    <s v="SNS-EX500-241"/>
    <s v="UCE_TJP"/>
    <n v="10"/>
    <n v="13.5"/>
    <n v="135"/>
    <s v="OB-PAF"/>
    <s v="Ex_Illegal"/>
    <n v="3000"/>
    <s v="UCE_TJP"/>
    <n v="405000"/>
    <x v="0"/>
    <s v="25SNS-EX500-241SNSUCE_TJP1"/>
    <n v="0.16666666666666666"/>
    <s v="25SNS-SN563UCE_TJP1"/>
    <n v="1"/>
    <n v="405000"/>
    <s v="25SNS-SN563SNSSNS-EX500-2411"/>
    <n v="1"/>
    <s v="Week IV"/>
    <s v="Ex_Illegal"/>
    <s v="SNS-EX500-241SNS"/>
    <x v="0"/>
    <x v="2"/>
    <x v="0"/>
    <x v="0"/>
  </r>
  <r>
    <x v="22"/>
    <x v="0"/>
    <s v="SNS-SN579"/>
    <s v="SNS-EX500-241"/>
    <s v="UCE_TJP"/>
    <n v="10"/>
    <n v="13.5"/>
    <n v="135"/>
    <s v="OB-PAF"/>
    <s v="Ex_Illegal"/>
    <n v="3000"/>
    <s v="UCE_TJP"/>
    <n v="405000"/>
    <x v="0"/>
    <s v="25SNS-EX500-241SNSUCE_TJP1"/>
    <n v="0.16666666666666666"/>
    <s v="25SNS-SN579UCE_TJP1"/>
    <n v="1"/>
    <n v="405000"/>
    <s v="25SNS-SN579SNSSNS-EX500-2411"/>
    <n v="1"/>
    <s v="Week IV"/>
    <s v="Ex_Illegal"/>
    <s v="SNS-EX500-241SNS"/>
    <x v="0"/>
    <x v="2"/>
    <x v="0"/>
    <x v="0"/>
  </r>
  <r>
    <x v="22"/>
    <x v="0"/>
    <s v="SNS-SN565"/>
    <s v="SNS-EX500-241"/>
    <s v="UCE_TJP"/>
    <n v="2"/>
    <n v="13.5"/>
    <n v="27"/>
    <s v="OB-PAF"/>
    <s v="Ex_Illegal"/>
    <n v="3000"/>
    <s v="UCE_TJP"/>
    <n v="81000"/>
    <x v="0"/>
    <s v="25SNS-EX500-241SNSUCE_TJP1"/>
    <n v="0.16666666666666666"/>
    <s v="25SNS-SN565UCE_TJP1"/>
    <n v="0.5"/>
    <n v="81000"/>
    <s v="25SNS-SN565SNSSNS-EX500-2411"/>
    <n v="1"/>
    <s v="Week IV"/>
    <s v="Ex_Illegal"/>
    <s v="SNS-EX500-241SNS"/>
    <x v="0"/>
    <x v="2"/>
    <x v="0"/>
    <x v="0"/>
  </r>
  <r>
    <x v="22"/>
    <x v="0"/>
    <s v="SNS-SN564"/>
    <s v="SNS-EX500-241"/>
    <s v="UCE_TJP"/>
    <n v="1"/>
    <n v="13.5"/>
    <n v="13.5"/>
    <s v="OB-PAF"/>
    <s v="Ex_Illegal"/>
    <n v="3000"/>
    <s v="UCE_TJP"/>
    <n v="40500"/>
    <x v="0"/>
    <s v="25SNS-EX500-241SNSUCE_TJP1"/>
    <n v="0.16666666666666666"/>
    <s v="25SNS-SN564UCE_TJP1"/>
    <n v="0.5"/>
    <n v="40500"/>
    <s v="25SNS-SN564SNSSNS-EX500-2411"/>
    <n v="1"/>
    <s v="Week IV"/>
    <s v="Ex_Illegal"/>
    <s v="SNS-EX500-241SNS"/>
    <x v="0"/>
    <x v="2"/>
    <x v="0"/>
    <x v="0"/>
  </r>
  <r>
    <x v="22"/>
    <x v="0"/>
    <s v="SNS-SN560"/>
    <s v="SNS-EX500-241"/>
    <s v="UCE_TJP"/>
    <n v="1"/>
    <n v="13.5"/>
    <n v="13.5"/>
    <s v="OB-PAF"/>
    <s v="Ex_Illegal"/>
    <n v="3000"/>
    <s v="UCE_TJP"/>
    <n v="40500"/>
    <x v="0"/>
    <s v="25SNS-EX500-241SNSUCE_TJP1"/>
    <n v="0.16666666666666666"/>
    <s v="25SNS-SN560UCE_TJP1"/>
    <n v="0.5"/>
    <n v="40500"/>
    <s v="25SNS-SN560SNSSNS-EX500-2411"/>
    <n v="1"/>
    <s v="Week IV"/>
    <s v="Ex_Illegal"/>
    <s v="SNS-EX500-241SNS"/>
    <x v="0"/>
    <x v="2"/>
    <x v="0"/>
    <x v="0"/>
  </r>
  <r>
    <x v="22"/>
    <x v="0"/>
    <s v="SNS-SN560"/>
    <s v="SNS-EX520-245"/>
    <s v="UCE_TJP"/>
    <n v="11"/>
    <n v="13.5"/>
    <n v="148.5"/>
    <s v="OB-PAF"/>
    <s v="Ex_Illegal"/>
    <n v="3000"/>
    <s v="UCE_TJP"/>
    <n v="445500"/>
    <x v="0"/>
    <s v="25SNS-EX520-245SNSUCE_TJP1"/>
    <n v="0.33333333333333331"/>
    <s v="25SNS-SN560UCE_TJP1"/>
    <n v="0.5"/>
    <n v="445500"/>
    <s v="25SNS-SN560SNSSNS-EX520-2451"/>
    <n v="1"/>
    <s v="Week IV"/>
    <s v="Ex_Illegal"/>
    <s v="SNS-EX520-245SNS"/>
    <x v="0"/>
    <x v="2"/>
    <x v="0"/>
    <x v="0"/>
  </r>
  <r>
    <x v="22"/>
    <x v="0"/>
    <s v="SNS-SN564"/>
    <s v="SNS-EX520-245"/>
    <s v="UCE_TJP"/>
    <n v="10"/>
    <n v="13.5"/>
    <n v="135"/>
    <s v="OB-PAF"/>
    <s v="Ex_Illegal"/>
    <n v="3000"/>
    <s v="UCE_TJP"/>
    <n v="405000"/>
    <x v="0"/>
    <s v="25SNS-EX520-245SNSUCE_TJP1"/>
    <n v="0.33333333333333331"/>
    <s v="25SNS-SN564UCE_TJP1"/>
    <n v="0.5"/>
    <n v="405000"/>
    <s v="25SNS-SN564SNSSNS-EX520-2451"/>
    <n v="1"/>
    <s v="Week IV"/>
    <s v="Ex_Illegal"/>
    <s v="SNS-EX520-245SNS"/>
    <x v="0"/>
    <x v="2"/>
    <x v="0"/>
    <x v="0"/>
  </r>
  <r>
    <x v="22"/>
    <x v="0"/>
    <s v="SNS-SN565"/>
    <s v="SNS-EX520-245"/>
    <s v="UCE_TJP"/>
    <n v="10"/>
    <n v="13.5"/>
    <n v="135"/>
    <s v="OB-PAF"/>
    <s v="Ex_Illegal"/>
    <n v="3000"/>
    <s v="UCE_TJP"/>
    <n v="405000"/>
    <x v="0"/>
    <s v="25SNS-EX520-245SNSUCE_TJP1"/>
    <n v="0.33333333333333331"/>
    <s v="25SNS-SN565UCE_TJP1"/>
    <n v="0.5"/>
    <n v="405000"/>
    <s v="25SNS-SN565SNSSNS-EX520-2451"/>
    <n v="1"/>
    <s v="Week IV"/>
    <s v="Ex_Illegal"/>
    <s v="SNS-EX520-245SNS"/>
    <x v="0"/>
    <x v="2"/>
    <x v="0"/>
    <x v="0"/>
  </r>
  <r>
    <x v="22"/>
    <x v="0"/>
    <s v="SNS-SN574"/>
    <s v="SNS-EX500-234"/>
    <s v="UCEX"/>
    <n v="16"/>
    <n v="13.5"/>
    <n v="216"/>
    <s v="OB-PAF"/>
    <s v="UEW_WEST"/>
    <n v="2000"/>
    <s v="PIT UCEX"/>
    <n v="432000"/>
    <x v="0"/>
    <s v="25SNS-EX500-234SNSPIT UCEX1"/>
    <n v="0.25"/>
    <s v="25SNS-SN574PIT UCEX1"/>
    <n v="1"/>
    <n v="432000"/>
    <s v="25SNS-SN574SNSSNS-EX500-2341"/>
    <n v="1"/>
    <s v="Week IV"/>
    <s v="UEW"/>
    <s v="SNS-EX500-234SNS"/>
    <x v="0"/>
    <x v="1"/>
    <x v="1"/>
    <x v="0"/>
  </r>
  <r>
    <x v="22"/>
    <x v="0"/>
    <s v="SNS-SN558"/>
    <s v="SNS-EX500-234"/>
    <s v="UCEX"/>
    <n v="16"/>
    <n v="13.5"/>
    <n v="216"/>
    <s v="OB-PAF"/>
    <s v="UEW_WEST"/>
    <n v="2000"/>
    <s v="PIT UCEX"/>
    <n v="432000"/>
    <x v="0"/>
    <s v="25SNS-EX500-234SNSPIT UCEX1"/>
    <n v="0.25"/>
    <s v="25SNS-SN558PIT UCEX1"/>
    <n v="1"/>
    <n v="432000"/>
    <s v="25SNS-SN558SNSSNS-EX500-2341"/>
    <n v="1"/>
    <s v="Week IV"/>
    <s v="UEW"/>
    <s v="SNS-EX500-234SNS"/>
    <x v="0"/>
    <x v="1"/>
    <x v="1"/>
    <x v="0"/>
  </r>
  <r>
    <x v="22"/>
    <x v="0"/>
    <s v="SNS-SN557"/>
    <s v="SNS-EX500-234"/>
    <s v="UCEX"/>
    <n v="16"/>
    <n v="13.5"/>
    <n v="216"/>
    <s v="OB-PAF"/>
    <s v="UEW_WEST"/>
    <n v="2000"/>
    <s v="PIT UCEX"/>
    <n v="432000"/>
    <x v="0"/>
    <s v="25SNS-EX500-234SNSPIT UCEX1"/>
    <n v="0.25"/>
    <s v="25SNS-SN557PIT UCEX1"/>
    <n v="1"/>
    <n v="432000"/>
    <s v="25SNS-SN557SNSSNS-EX500-2341"/>
    <n v="1"/>
    <s v="Week IV"/>
    <s v="UEW"/>
    <s v="SNS-EX500-234SNS"/>
    <x v="0"/>
    <x v="1"/>
    <x v="1"/>
    <x v="0"/>
  </r>
  <r>
    <x v="22"/>
    <x v="0"/>
    <s v="SNS-SN568"/>
    <s v="SNS-EX500-234"/>
    <s v="UCEX"/>
    <n v="14"/>
    <n v="13.5"/>
    <n v="189"/>
    <s v="OB-PAF"/>
    <s v="UEW_WEST"/>
    <n v="2000"/>
    <s v="PIT UCEX"/>
    <n v="378000"/>
    <x v="0"/>
    <s v="25SNS-EX500-234SNSPIT UCEX1"/>
    <n v="0.25"/>
    <s v="25SNS-SN568PIT UCEX1"/>
    <n v="1"/>
    <n v="378000"/>
    <s v="25SNS-SN568SNSSNS-EX500-2341"/>
    <n v="1"/>
    <s v="Week IV"/>
    <s v="UEW"/>
    <s v="SNS-EX500-234SNS"/>
    <x v="0"/>
    <x v="1"/>
    <x v="1"/>
    <x v="0"/>
  </r>
  <r>
    <x v="22"/>
    <x v="0"/>
    <s v="SNS-SN604"/>
    <s v="SNS-EX520-248"/>
    <s v="UCEX"/>
    <n v="17"/>
    <n v="13.5"/>
    <n v="229.5"/>
    <s v="OB-PAF"/>
    <s v="UEW_WEST"/>
    <n v="2000"/>
    <s v="PIT UCEX"/>
    <n v="459000"/>
    <x v="0"/>
    <s v="25SNS-EX520-248SNSPIT UCEX1"/>
    <n v="0.25"/>
    <s v="25SNS-SN604PIT UCEX1"/>
    <n v="1"/>
    <n v="459000"/>
    <s v="25SNS-SN604SNSSNS-EX520-2481"/>
    <n v="1"/>
    <s v="Week IV"/>
    <s v="UEW"/>
    <s v="SNS-EX520-248SNS"/>
    <x v="1"/>
    <x v="1"/>
    <x v="1"/>
    <x v="0"/>
  </r>
  <r>
    <x v="22"/>
    <x v="0"/>
    <s v="SNS-SN559"/>
    <s v="SNS-EX520-248"/>
    <s v="UCEX"/>
    <n v="16"/>
    <n v="13.5"/>
    <n v="216"/>
    <s v="OB-PAF"/>
    <s v="UEW_WEST"/>
    <n v="2000"/>
    <s v="PIT UCEX"/>
    <n v="432000"/>
    <x v="0"/>
    <s v="25SNS-EX520-248SNSPIT UCEX1"/>
    <n v="0.25"/>
    <s v="25SNS-SN559PIT UCEX1"/>
    <n v="1"/>
    <n v="432000"/>
    <s v="25SNS-SN559SNSSNS-EX520-2481"/>
    <n v="1"/>
    <s v="Week IV"/>
    <s v="UEW"/>
    <s v="SNS-EX520-248SNS"/>
    <x v="0"/>
    <x v="1"/>
    <x v="1"/>
    <x v="0"/>
  </r>
  <r>
    <x v="22"/>
    <x v="0"/>
    <s v="SNS-SN569"/>
    <s v="SNS-EX520-248"/>
    <s v="UCEX"/>
    <n v="18"/>
    <n v="13.5"/>
    <n v="243"/>
    <s v="OB-PAF"/>
    <s v="UEW_WEST"/>
    <n v="2000"/>
    <s v="PIT UCEX"/>
    <n v="486000"/>
    <x v="0"/>
    <s v="25SNS-EX520-248SNSPIT UCEX1"/>
    <n v="0.25"/>
    <s v="25SNS-SN569PIT UCEX1"/>
    <n v="1"/>
    <n v="486000"/>
    <s v="25SNS-SN569SNSSNS-EX520-2481"/>
    <n v="1"/>
    <s v="Week IV"/>
    <s v="UEW"/>
    <s v="SNS-EX520-248SNS"/>
    <x v="0"/>
    <x v="1"/>
    <x v="1"/>
    <x v="0"/>
  </r>
  <r>
    <x v="22"/>
    <x v="0"/>
    <s v="SNS-SN582"/>
    <s v="SNS-EX520-248"/>
    <s v="UCEX"/>
    <n v="14"/>
    <n v="13.5"/>
    <n v="189"/>
    <s v="OB-PAF"/>
    <s v="UEW_WEST"/>
    <n v="2000"/>
    <s v="PIT UCEX"/>
    <n v="378000"/>
    <x v="0"/>
    <s v="25SNS-EX520-248SNSPIT UCEX1"/>
    <n v="0.25"/>
    <s v="25SNS-SN582PIT UCEX1"/>
    <n v="1"/>
    <n v="378000"/>
    <s v="25SNS-SN582SNSSNS-EX520-2481"/>
    <n v="1"/>
    <s v="Week IV"/>
    <s v="UEW"/>
    <s v="SNS-EX520-248SNS"/>
    <x v="0"/>
    <x v="1"/>
    <x v="1"/>
    <x v="0"/>
  </r>
  <r>
    <x v="22"/>
    <x v="0"/>
    <s v="SNS-SN603"/>
    <s v="SNS-EX520-239"/>
    <s v="UCEX"/>
    <n v="21"/>
    <n v="13.5"/>
    <n v="283.5"/>
    <s v="OB-PAF"/>
    <s v="UEW_WEST"/>
    <n v="2000"/>
    <s v="PIT UCEX"/>
    <n v="567000"/>
    <x v="0"/>
    <s v="25SNS-EX520-239SNSPIT UCEX1"/>
    <n v="0.33333333333333331"/>
    <s v="25SNS-SN603PIT UCEX1"/>
    <n v="1"/>
    <n v="567000"/>
    <s v="25SNS-SN603SNSSNS-EX520-2391"/>
    <n v="1"/>
    <s v="Week IV"/>
    <s v="UEW"/>
    <s v="SNS-EX520-239SNS"/>
    <x v="1"/>
    <x v="1"/>
    <x v="1"/>
    <x v="0"/>
  </r>
  <r>
    <x v="22"/>
    <x v="0"/>
    <s v="SNS-SN609"/>
    <s v="SNS-EX520-239"/>
    <s v="UCEX"/>
    <n v="21"/>
    <n v="13.5"/>
    <n v="283.5"/>
    <s v="OB-PAF"/>
    <s v="UEW_WEST"/>
    <n v="2000"/>
    <s v="PIT UCEX"/>
    <n v="567000"/>
    <x v="0"/>
    <s v="25SNS-EX520-239SNSPIT UCEX1"/>
    <n v="0.33333333333333331"/>
    <s v="25SNS-SN609PIT UCEX1"/>
    <n v="1"/>
    <n v="567000"/>
    <s v="25SNS-SN609SNSSNS-EX520-2391"/>
    <n v="1"/>
    <s v="Week IV"/>
    <s v="UEW"/>
    <s v="SNS-EX520-239SNS"/>
    <x v="0"/>
    <x v="1"/>
    <x v="1"/>
    <x v="0"/>
  </r>
  <r>
    <x v="22"/>
    <x v="0"/>
    <s v="SNS-SN605"/>
    <s v="SNS-EX520-239"/>
    <s v="UCEX"/>
    <n v="18"/>
    <n v="13.5"/>
    <n v="243"/>
    <s v="OB-PAF"/>
    <s v="UEW_WEST"/>
    <n v="2000"/>
    <s v="PIT UCEX"/>
    <n v="486000"/>
    <x v="0"/>
    <s v="25SNS-EX520-239SNSPIT UCEX1"/>
    <n v="0.33333333333333331"/>
    <s v="25SNS-SN605PIT UCEX1"/>
    <n v="1"/>
    <n v="486000"/>
    <s v="25SNS-SN605SNSSNS-EX520-2391"/>
    <n v="1"/>
    <s v="Week IV"/>
    <s v="UEW"/>
    <s v="SNS-EX520-239SNS"/>
    <x v="1"/>
    <x v="1"/>
    <x v="1"/>
    <x v="0"/>
  </r>
  <r>
    <x v="23"/>
    <x v="0"/>
    <s v="SNS-SN609"/>
    <s v="SNS-EX520-248"/>
    <s v="UCEX"/>
    <n v="21"/>
    <n v="13.5"/>
    <n v="283.5"/>
    <s v="OB-PAF"/>
    <s v="UEW_WEST"/>
    <n v="2000"/>
    <s v="PIT UCEX"/>
    <n v="567000"/>
    <x v="0"/>
    <s v="26SNS-EX520-248SNSPIT UCEX1"/>
    <n v="0.33333333333333331"/>
    <s v="26SNS-SN609PIT UCEX1"/>
    <n v="1"/>
    <n v="567000"/>
    <s v="26SNS-SN609SNSSNS-EX520-2481"/>
    <n v="1"/>
    <s v="Week IV"/>
    <s v="UEW"/>
    <s v="SNS-EX520-248SNS"/>
    <x v="0"/>
    <x v="1"/>
    <x v="1"/>
    <x v="0"/>
  </r>
  <r>
    <x v="23"/>
    <x v="0"/>
    <s v="SNS-SN582"/>
    <s v="SNS-EX520-248"/>
    <s v="UCEX"/>
    <n v="22"/>
    <n v="13.5"/>
    <n v="297"/>
    <s v="OB-PAF"/>
    <s v="UEW_WEST"/>
    <n v="2000"/>
    <s v="PIT UCEX"/>
    <n v="594000"/>
    <x v="0"/>
    <s v="26SNS-EX520-248SNSPIT UCEX1"/>
    <n v="0.33333333333333331"/>
    <s v="26SNS-SN582PIT UCEX1"/>
    <n v="1"/>
    <n v="594000"/>
    <s v="26SNS-SN582SNSSNS-EX520-2481"/>
    <n v="1"/>
    <s v="Week IV"/>
    <s v="UEW"/>
    <s v="SNS-EX520-248SNS"/>
    <x v="0"/>
    <x v="1"/>
    <x v="1"/>
    <x v="0"/>
  </r>
  <r>
    <x v="23"/>
    <x v="0"/>
    <s v="SNS-SN569"/>
    <s v="SNS-EX520-248"/>
    <s v="UCEX"/>
    <n v="18"/>
    <n v="13.5"/>
    <n v="243"/>
    <s v="OB-PAF"/>
    <s v="UEW_WEST"/>
    <n v="2000"/>
    <s v="PIT UCEX"/>
    <n v="486000"/>
    <x v="0"/>
    <s v="26SNS-EX520-248SNSPIT UCEX1"/>
    <n v="0.33333333333333331"/>
    <s v="26SNS-SN569PIT UCEX1"/>
    <n v="1"/>
    <n v="486000"/>
    <s v="26SNS-SN569SNSSNS-EX520-2481"/>
    <n v="1"/>
    <s v="Week IV"/>
    <s v="UEW"/>
    <s v="SNS-EX520-248SNS"/>
    <x v="0"/>
    <x v="1"/>
    <x v="1"/>
    <x v="0"/>
  </r>
  <r>
    <x v="23"/>
    <x v="0"/>
    <s v="SNS-SN561"/>
    <s v="SNS-EX500-234"/>
    <s v="UCEX"/>
    <n v="22"/>
    <n v="13.5"/>
    <n v="297"/>
    <s v="OB-PAF"/>
    <s v="UEW_WEST"/>
    <n v="2000"/>
    <s v="PIT UCEX"/>
    <n v="594000"/>
    <x v="0"/>
    <s v="26SNS-EX500-234SNSPIT UCEX1"/>
    <n v="0.33333333333333331"/>
    <s v="26SNS-SN561PIT UCEX1"/>
    <n v="1"/>
    <n v="594000"/>
    <s v="26SNS-SN561SNSSNS-EX500-2341"/>
    <n v="1"/>
    <s v="Week IV"/>
    <s v="UEW"/>
    <s v="SNS-EX500-234SNS"/>
    <x v="0"/>
    <x v="1"/>
    <x v="1"/>
    <x v="0"/>
  </r>
  <r>
    <x v="23"/>
    <x v="0"/>
    <s v="SNS-SN568"/>
    <s v="SNS-EX500-234"/>
    <s v="UCEX"/>
    <n v="14"/>
    <n v="13.5"/>
    <n v="189"/>
    <s v="OB-PAF"/>
    <s v="UEW_WEST"/>
    <n v="2000"/>
    <s v="PIT UCEX"/>
    <n v="378000"/>
    <x v="0"/>
    <s v="26SNS-EX500-234SNSPIT UCEX1"/>
    <n v="0.33333333333333331"/>
    <s v="26SNS-SN568PIT UCEX1"/>
    <n v="1"/>
    <n v="378000"/>
    <s v="26SNS-SN568SNSSNS-EX500-2341"/>
    <n v="1"/>
    <s v="Week IV"/>
    <s v="UEW"/>
    <s v="SNS-EX500-234SNS"/>
    <x v="0"/>
    <x v="1"/>
    <x v="1"/>
    <x v="0"/>
  </r>
  <r>
    <x v="23"/>
    <x v="0"/>
    <s v="SNS-SN558"/>
    <s v="SNS-EX500-234"/>
    <s v="UCEX"/>
    <n v="23"/>
    <n v="13.5"/>
    <n v="310.5"/>
    <s v="OB-PAF"/>
    <s v="UEW_WEST"/>
    <n v="2000"/>
    <s v="PIT UCEX"/>
    <n v="621000"/>
    <x v="0"/>
    <s v="26SNS-EX500-234SNSPIT UCEX1"/>
    <n v="0.33333333333333331"/>
    <s v="26SNS-SN558PIT UCEX1"/>
    <n v="1"/>
    <n v="621000"/>
    <s v="26SNS-SN558SNSSNS-EX500-2341"/>
    <n v="1"/>
    <s v="Week IV"/>
    <s v="UEW"/>
    <s v="SNS-EX500-234SNS"/>
    <x v="0"/>
    <x v="1"/>
    <x v="1"/>
    <x v="0"/>
  </r>
  <r>
    <x v="23"/>
    <x v="0"/>
    <s v="SNS-SN574"/>
    <s v="SNS-EX520-239"/>
    <s v="UCEX"/>
    <n v="22"/>
    <n v="13.5"/>
    <n v="297"/>
    <s v="OB-PAF"/>
    <s v="UEW_WEST"/>
    <n v="2000"/>
    <s v="PIT UCEX"/>
    <n v="594000"/>
    <x v="0"/>
    <s v="26SNS-EX520-239SNSPIT UCEX1"/>
    <n v="0.25"/>
    <s v="26SNS-SN574PIT UCEX1"/>
    <n v="1"/>
    <n v="594000"/>
    <s v="26SNS-SN574SNSSNS-EX520-2391"/>
    <n v="1"/>
    <s v="Week IV"/>
    <s v="UEW"/>
    <s v="SNS-EX520-239SNS"/>
    <x v="0"/>
    <x v="1"/>
    <x v="1"/>
    <x v="0"/>
  </r>
  <r>
    <x v="23"/>
    <x v="0"/>
    <s v="SNS-SN566"/>
    <s v="SNS-EX520-239"/>
    <s v="UCEX"/>
    <n v="22"/>
    <n v="13.5"/>
    <n v="297"/>
    <s v="OB-PAF"/>
    <s v="UEW_WEST"/>
    <n v="2000"/>
    <s v="PIT UCEX"/>
    <n v="594000"/>
    <x v="0"/>
    <s v="26SNS-EX520-239SNSPIT UCEX1"/>
    <n v="0.25"/>
    <s v="26SNS-SN566PIT UCEX1"/>
    <n v="1"/>
    <n v="594000"/>
    <s v="26SNS-SN566SNSSNS-EX520-2391"/>
    <n v="1"/>
    <s v="Week IV"/>
    <s v="UEW"/>
    <s v="SNS-EX520-239SNS"/>
    <x v="0"/>
    <x v="1"/>
    <x v="1"/>
    <x v="0"/>
  </r>
  <r>
    <x v="23"/>
    <x v="0"/>
    <s v="SNS-SN604"/>
    <s v="SNS-EX520-239"/>
    <s v="UCEX"/>
    <n v="16"/>
    <n v="13.5"/>
    <n v="216"/>
    <s v="OB-PAF"/>
    <s v="UEW_WEST"/>
    <n v="2000"/>
    <s v="PIT UCEX"/>
    <n v="432000"/>
    <x v="0"/>
    <s v="26SNS-EX520-239SNSPIT UCEX1"/>
    <n v="0.25"/>
    <s v="26SNS-SN604PIT UCEX1"/>
    <n v="1"/>
    <n v="432000"/>
    <s v="26SNS-SN604SNSSNS-EX520-2391"/>
    <n v="1"/>
    <s v="Week IV"/>
    <s v="UEW"/>
    <s v="SNS-EX520-239SNS"/>
    <x v="1"/>
    <x v="1"/>
    <x v="1"/>
    <x v="0"/>
  </r>
  <r>
    <x v="23"/>
    <x v="0"/>
    <s v="SNS-SN580"/>
    <s v="SNS-EX520-239"/>
    <s v="UCEX"/>
    <n v="19"/>
    <n v="13.5"/>
    <n v="256.5"/>
    <s v="OB-PAF"/>
    <s v="UEW_WEST"/>
    <n v="2000"/>
    <s v="PIT UCEX"/>
    <n v="513000"/>
    <x v="0"/>
    <s v="26SNS-EX520-239SNSPIT UCEX1"/>
    <n v="0.25"/>
    <s v="26SNS-SN580PIT UCEX1"/>
    <n v="1"/>
    <n v="513000"/>
    <s v="26SNS-SN580SNSSNS-EX520-2391"/>
    <n v="1"/>
    <s v="Week IV"/>
    <s v="UEW"/>
    <s v="SNS-EX520-239SNS"/>
    <x v="0"/>
    <x v="1"/>
    <x v="1"/>
    <x v="0"/>
  </r>
  <r>
    <x v="23"/>
    <x v="0"/>
    <s v="SNS-SN560"/>
    <s v="SNS-EX500-241"/>
    <s v="UCE_TJP"/>
    <n v="14"/>
    <n v="13.5"/>
    <n v="189"/>
    <s v="OB-PAF"/>
    <s v="Ex_Illegal"/>
    <n v="3000"/>
    <s v="UCE_TJP"/>
    <n v="567000"/>
    <x v="0"/>
    <s v="26SNS-EX500-241SNSUCE_TJP1"/>
    <n v="0.16666666666666666"/>
    <s v="26SNS-SN560UCE_TJP1"/>
    <n v="1"/>
    <n v="567000"/>
    <s v="26SNS-SN560SNSSNS-EX500-2411"/>
    <n v="1"/>
    <s v="Week IV"/>
    <s v="Ex_Illegal"/>
    <s v="SNS-EX500-241SNS"/>
    <x v="0"/>
    <x v="2"/>
    <x v="0"/>
    <x v="0"/>
  </r>
  <r>
    <x v="23"/>
    <x v="0"/>
    <s v="SNS-SN565"/>
    <s v="SNS-EX500-241"/>
    <s v="UCE_TJP"/>
    <n v="13"/>
    <n v="13.5"/>
    <n v="175.5"/>
    <s v="OB-PAF"/>
    <s v="Ex_Illegal"/>
    <n v="3000"/>
    <s v="UCE_TJP"/>
    <n v="526500"/>
    <x v="0"/>
    <s v="26SNS-EX500-241SNSUCE_TJP1"/>
    <n v="0.16666666666666666"/>
    <s v="26SNS-SN565UCE_TJP1"/>
    <n v="1"/>
    <n v="526500"/>
    <s v="26SNS-SN565SNSSNS-EX500-2411"/>
    <n v="1"/>
    <s v="Week IV"/>
    <s v="Ex_Illegal"/>
    <s v="SNS-EX500-241SNS"/>
    <x v="0"/>
    <x v="2"/>
    <x v="0"/>
    <x v="0"/>
  </r>
  <r>
    <x v="23"/>
    <x v="0"/>
    <s v="SNS-SN573"/>
    <s v="SNS-EX500-241"/>
    <s v="UCE_TJP"/>
    <n v="14"/>
    <n v="13.5"/>
    <n v="189"/>
    <s v="OB-PAF"/>
    <s v="Ex_Illegal"/>
    <n v="3000"/>
    <s v="UCE_TJP"/>
    <n v="567000"/>
    <x v="0"/>
    <s v="26SNS-EX500-241SNSUCE_TJP1"/>
    <n v="0.16666666666666666"/>
    <s v="26SNS-SN573UCE_TJP1"/>
    <n v="1"/>
    <n v="567000"/>
    <s v="26SNS-SN573SNSSNS-EX500-2411"/>
    <n v="1"/>
    <s v="Week IV"/>
    <s v="Ex_Illegal"/>
    <s v="SNS-EX500-241SNS"/>
    <x v="0"/>
    <x v="2"/>
    <x v="0"/>
    <x v="0"/>
  </r>
  <r>
    <x v="23"/>
    <x v="0"/>
    <s v="SNS-SN564"/>
    <s v="SNS-EX500-241"/>
    <s v="UCE_TJP"/>
    <n v="12"/>
    <n v="13.5"/>
    <n v="162"/>
    <s v="OB-PAF"/>
    <s v="Ex_Illegal"/>
    <n v="3000"/>
    <s v="UCE_TJP"/>
    <n v="486000"/>
    <x v="0"/>
    <s v="26SNS-EX500-241SNSUCE_TJP1"/>
    <n v="0.16666666666666666"/>
    <s v="26SNS-SN564UCE_TJP1"/>
    <n v="1"/>
    <n v="486000"/>
    <s v="26SNS-SN564SNSSNS-EX500-2411"/>
    <n v="1"/>
    <s v="Week IV"/>
    <s v="Ex_Illegal"/>
    <s v="SNS-EX500-241SNS"/>
    <x v="0"/>
    <x v="2"/>
    <x v="0"/>
    <x v="0"/>
  </r>
  <r>
    <x v="23"/>
    <x v="0"/>
    <s v="SNS-SN563"/>
    <s v="SNS-EX500-241"/>
    <s v="UCE_TJP"/>
    <n v="13"/>
    <n v="13.5"/>
    <n v="175.5"/>
    <s v="OB-PAF"/>
    <s v="Ex_Illegal"/>
    <n v="3000"/>
    <s v="UCE_TJP"/>
    <n v="526500"/>
    <x v="0"/>
    <s v="26SNS-EX500-241SNSUCE_TJP1"/>
    <n v="0.16666666666666666"/>
    <s v="26SNS-SN563UCE_TJP1"/>
    <n v="1"/>
    <n v="526500"/>
    <s v="26SNS-SN563SNSSNS-EX500-2411"/>
    <n v="1"/>
    <s v="Week IV"/>
    <s v="Ex_Illegal"/>
    <s v="SNS-EX500-241SNS"/>
    <x v="0"/>
    <x v="2"/>
    <x v="0"/>
    <x v="0"/>
  </r>
  <r>
    <x v="23"/>
    <x v="0"/>
    <s v="SNS-SN579"/>
    <s v="SNS-EX500-241"/>
    <s v="UCE_TJP"/>
    <n v="12"/>
    <n v="13.5"/>
    <n v="162"/>
    <s v="OB-PAF"/>
    <s v="Ex_Illegal"/>
    <n v="3000"/>
    <s v="UCE_TJP"/>
    <n v="486000"/>
    <x v="0"/>
    <s v="26SNS-EX500-241SNSUCE_TJP1"/>
    <n v="0.16666666666666666"/>
    <s v="26SNS-SN579UCE_TJP1"/>
    <n v="1"/>
    <n v="486000"/>
    <s v="26SNS-SN579SNSSNS-EX500-2411"/>
    <n v="1"/>
    <s v="Week IV"/>
    <s v="Ex_Illegal"/>
    <s v="SNS-EX500-241SNS"/>
    <x v="0"/>
    <x v="2"/>
    <x v="0"/>
    <x v="0"/>
  </r>
  <r>
    <x v="24"/>
    <x v="0"/>
    <s v="SNS-SN569"/>
    <s v="SNS-EX520-248"/>
    <s v="UCEX"/>
    <n v="15"/>
    <n v="13.5"/>
    <n v="202.5"/>
    <s v="OB-PAF"/>
    <s v="UEW_WEST"/>
    <n v="2000"/>
    <s v="PIT UCEX"/>
    <n v="405000"/>
    <x v="0"/>
    <s v="27SNS-EX520-248SNSPIT UCEX1"/>
    <n v="0.33333333333333331"/>
    <s v="27SNS-SN569PIT UCEX1"/>
    <n v="1"/>
    <n v="405000"/>
    <s v="27SNS-SN569SNSSNS-EX520-2481"/>
    <n v="1"/>
    <s v="Week V"/>
    <s v="UEW"/>
    <s v="SNS-EX520-248SNS"/>
    <x v="0"/>
    <x v="1"/>
    <x v="1"/>
    <x v="0"/>
  </r>
  <r>
    <x v="24"/>
    <x v="0"/>
    <s v="SNS-SN568"/>
    <s v="SNS-EX520-248"/>
    <s v="UCEX"/>
    <n v="16"/>
    <n v="13.5"/>
    <n v="216"/>
    <s v="OB-PAF"/>
    <s v="UEW_WEST"/>
    <n v="2000"/>
    <s v="PIT UCEX"/>
    <n v="432000"/>
    <x v="0"/>
    <s v="27SNS-EX520-248SNSPIT UCEX1"/>
    <n v="0.33333333333333331"/>
    <s v="27SNS-SN568PIT UCEX1"/>
    <n v="1"/>
    <n v="432000"/>
    <s v="27SNS-SN568SNSSNS-EX520-2481"/>
    <n v="1"/>
    <s v="Week V"/>
    <s v="UEW"/>
    <s v="SNS-EX520-248SNS"/>
    <x v="0"/>
    <x v="1"/>
    <x v="1"/>
    <x v="0"/>
  </r>
  <r>
    <x v="24"/>
    <x v="0"/>
    <s v="SNS-SN582"/>
    <s v="SNS-EX520-248"/>
    <s v="UCEX"/>
    <n v="13"/>
    <n v="13.5"/>
    <n v="175.5"/>
    <s v="OB-PAF"/>
    <s v="UEW_WEST"/>
    <n v="2000"/>
    <s v="PIT UCEX"/>
    <n v="351000"/>
    <x v="0"/>
    <s v="27SNS-EX520-248SNSPIT UCEX1"/>
    <n v="0.33333333333333331"/>
    <s v="27SNS-SN582PIT UCEX1"/>
    <n v="1"/>
    <n v="351000"/>
    <s v="27SNS-SN582SNSSNS-EX520-2481"/>
    <n v="1"/>
    <s v="Week V"/>
    <s v="UEW"/>
    <s v="SNS-EX520-248SNS"/>
    <x v="0"/>
    <x v="1"/>
    <x v="1"/>
    <x v="0"/>
  </r>
  <r>
    <x v="24"/>
    <x v="0"/>
    <s v="SNS-SN609"/>
    <s v="SNS-EX520-239"/>
    <s v="UCEX"/>
    <n v="13"/>
    <n v="13.5"/>
    <n v="175.5"/>
    <s v="OB-PAF"/>
    <s v="UEW_WEST"/>
    <n v="2000"/>
    <s v="PIT UCEX"/>
    <n v="351000"/>
    <x v="0"/>
    <s v="27SNS-EX520-239SNSPIT UCEX1"/>
    <n v="0.33333333333333331"/>
    <s v="27SNS-SN609PIT UCEX1"/>
    <n v="1"/>
    <n v="351000"/>
    <s v="27SNS-SN609SNSSNS-EX520-2391"/>
    <n v="1"/>
    <s v="Week V"/>
    <s v="UEW"/>
    <s v="SNS-EX520-239SNS"/>
    <x v="0"/>
    <x v="1"/>
    <x v="1"/>
    <x v="0"/>
  </r>
  <r>
    <x v="24"/>
    <x v="0"/>
    <s v="SNS-SN574"/>
    <s v="SNS-EX520-239"/>
    <s v="UCEX"/>
    <n v="14"/>
    <n v="13.5"/>
    <n v="189"/>
    <s v="OB-PAF"/>
    <s v="UEW_WEST"/>
    <n v="2000"/>
    <s v="PIT UCEX"/>
    <n v="378000"/>
    <x v="0"/>
    <s v="27SNS-EX520-239SNSPIT UCEX1"/>
    <n v="0.33333333333333331"/>
    <s v="27SNS-SN574PIT UCEX1"/>
    <n v="1"/>
    <n v="378000"/>
    <s v="27SNS-SN574SNSSNS-EX520-2391"/>
    <n v="1"/>
    <s v="Week V"/>
    <s v="UEW"/>
    <s v="SNS-EX520-239SNS"/>
    <x v="0"/>
    <x v="1"/>
    <x v="1"/>
    <x v="0"/>
  </r>
  <r>
    <x v="24"/>
    <x v="0"/>
    <s v="SNS-SN566"/>
    <s v="SNS-EX520-239"/>
    <s v="UCEX"/>
    <n v="14"/>
    <n v="13.5"/>
    <n v="189"/>
    <s v="OB-PAF"/>
    <s v="UEW_WEST"/>
    <n v="2000"/>
    <s v="PIT UCEX"/>
    <n v="378000"/>
    <x v="0"/>
    <s v="27SNS-EX520-239SNSPIT UCEX1"/>
    <n v="0.33333333333333331"/>
    <s v="27SNS-SN566PIT UCEX1"/>
    <n v="1"/>
    <n v="378000"/>
    <s v="27SNS-SN566SNSSNS-EX520-2391"/>
    <n v="1"/>
    <s v="Week V"/>
    <s v="UEW"/>
    <s v="SNS-EX520-239SNS"/>
    <x v="0"/>
    <x v="1"/>
    <x v="1"/>
    <x v="0"/>
  </r>
  <r>
    <x v="24"/>
    <x v="0"/>
    <s v="SNS-SN558"/>
    <s v="SNS-EX500-234"/>
    <s v="UCEX"/>
    <n v="14"/>
    <n v="13.5"/>
    <n v="189"/>
    <s v="OB-PAF"/>
    <s v="UEW_WEST"/>
    <n v="2000"/>
    <s v="PIT UCEX"/>
    <n v="378000"/>
    <x v="0"/>
    <s v="27SNS-EX500-234SNSPIT UCEX1"/>
    <n v="0.33333333333333331"/>
    <s v="27SNS-SN558PIT UCEX1"/>
    <n v="1"/>
    <n v="378000"/>
    <s v="27SNS-SN558SNSSNS-EX500-2341"/>
    <n v="1"/>
    <s v="Week V"/>
    <s v="UEW"/>
    <s v="SNS-EX500-234SNS"/>
    <x v="0"/>
    <x v="1"/>
    <x v="1"/>
    <x v="0"/>
  </r>
  <r>
    <x v="24"/>
    <x v="0"/>
    <s v="SNS-SN561"/>
    <s v="SNS-EX500-234"/>
    <s v="UCEX"/>
    <n v="16"/>
    <n v="13.5"/>
    <n v="216"/>
    <s v="OB-PAF"/>
    <s v="UEW_WEST"/>
    <n v="2000"/>
    <s v="PIT UCEX"/>
    <n v="432000"/>
    <x v="0"/>
    <s v="27SNS-EX500-234SNSPIT UCEX1"/>
    <n v="0.33333333333333331"/>
    <s v="27SNS-SN561PIT UCEX1"/>
    <n v="1"/>
    <n v="432000"/>
    <s v="27SNS-SN561SNSSNS-EX500-2341"/>
    <n v="1"/>
    <s v="Week V"/>
    <s v="UEW"/>
    <s v="SNS-EX500-234SNS"/>
    <x v="0"/>
    <x v="1"/>
    <x v="1"/>
    <x v="0"/>
  </r>
  <r>
    <x v="24"/>
    <x v="0"/>
    <s v="SNS-SN559"/>
    <s v="SNS-EX500-234"/>
    <s v="UCEX"/>
    <n v="14"/>
    <n v="13.5"/>
    <n v="189"/>
    <s v="OB-PAF"/>
    <s v="UEW_WEST"/>
    <n v="2000"/>
    <s v="PIT UCEX"/>
    <n v="378000"/>
    <x v="0"/>
    <s v="27SNS-EX500-234SNSPIT UCEX1"/>
    <n v="0.33333333333333331"/>
    <s v="27SNS-SN559PIT UCEX1"/>
    <n v="1"/>
    <n v="378000"/>
    <s v="27SNS-SN559SNSSNS-EX500-2341"/>
    <n v="1"/>
    <s v="Week V"/>
    <s v="UEW"/>
    <s v="SNS-EX500-234SNS"/>
    <x v="0"/>
    <x v="1"/>
    <x v="1"/>
    <x v="0"/>
  </r>
  <r>
    <x v="25"/>
    <x v="0"/>
    <s v="SNS-SN561"/>
    <s v="SNS-EX500-234"/>
    <s v="UCEX"/>
    <n v="26"/>
    <n v="13.5"/>
    <n v="351"/>
    <s v="OB-PAF"/>
    <s v="UEW_WEST"/>
    <n v="2000"/>
    <s v="PIT UCEX"/>
    <n v="702000"/>
    <x v="0"/>
    <s v="28SNS-EX500-234SNSPIT UCEX1"/>
    <n v="0.25"/>
    <s v="28SNS-SN561PIT UCEX1"/>
    <n v="1"/>
    <n v="702000"/>
    <s v="28SNS-SN561SNSSNS-EX500-2341"/>
    <n v="1"/>
    <s v="Week V"/>
    <s v="UEW"/>
    <s v="SNS-EX500-234SNS"/>
    <x v="0"/>
    <x v="1"/>
    <x v="1"/>
    <x v="0"/>
  </r>
  <r>
    <x v="25"/>
    <x v="0"/>
    <s v="SNS-SN557"/>
    <s v="SNS-EX500-234"/>
    <s v="UCEX"/>
    <n v="24"/>
    <n v="13.5"/>
    <n v="324"/>
    <s v="OB-PAF"/>
    <s v="UEW_WEST"/>
    <n v="2000"/>
    <s v="PIT UCEX"/>
    <n v="648000"/>
    <x v="0"/>
    <s v="28SNS-EX500-234SNSPIT UCEX1"/>
    <n v="0.25"/>
    <s v="28SNS-SN557PIT UCEX1"/>
    <n v="1"/>
    <n v="648000"/>
    <s v="28SNS-SN557SNSSNS-EX500-2341"/>
    <n v="1"/>
    <s v="Week V"/>
    <s v="UEW"/>
    <s v="SNS-EX500-234SNS"/>
    <x v="0"/>
    <x v="1"/>
    <x v="1"/>
    <x v="0"/>
  </r>
  <r>
    <x v="25"/>
    <x v="0"/>
    <s v="SNS-SN604"/>
    <s v="SNS-EX500-234"/>
    <s v="UCEX"/>
    <n v="23"/>
    <n v="13.5"/>
    <n v="310.5"/>
    <s v="OB-PAF"/>
    <s v="UEW_WEST"/>
    <n v="2000"/>
    <s v="PIT UCEX"/>
    <n v="621000"/>
    <x v="0"/>
    <s v="28SNS-EX500-234SNSPIT UCEX1"/>
    <n v="0.25"/>
    <s v="28SNS-SN604PIT UCEX1"/>
    <n v="1"/>
    <n v="621000"/>
    <s v="28SNS-SN604SNSSNS-EX500-2341"/>
    <n v="1"/>
    <s v="Week V"/>
    <s v="UEW"/>
    <s v="SNS-EX500-234SNS"/>
    <x v="1"/>
    <x v="1"/>
    <x v="1"/>
    <x v="0"/>
  </r>
  <r>
    <x v="25"/>
    <x v="0"/>
    <s v="SNS-SN609"/>
    <s v="SNS-EX500-234"/>
    <s v="UCEX"/>
    <n v="23"/>
    <n v="13.5"/>
    <n v="310.5"/>
    <s v="OB-PAF"/>
    <s v="UEW_WEST"/>
    <n v="2000"/>
    <s v="PIT UCEX"/>
    <n v="621000"/>
    <x v="0"/>
    <s v="28SNS-EX500-234SNSPIT UCEX1"/>
    <n v="0.25"/>
    <s v="28SNS-SN609PIT UCEX1"/>
    <n v="1"/>
    <n v="621000"/>
    <s v="28SNS-SN609SNSSNS-EX500-2341"/>
    <n v="1"/>
    <s v="Week V"/>
    <s v="UEW"/>
    <s v="SNS-EX500-234SNS"/>
    <x v="0"/>
    <x v="1"/>
    <x v="1"/>
    <x v="0"/>
  </r>
  <r>
    <x v="25"/>
    <x v="0"/>
    <s v="SNS-SN568"/>
    <s v="SNS-EX520-248"/>
    <s v="UCEX"/>
    <n v="22"/>
    <n v="13.5"/>
    <n v="297"/>
    <s v="OB-PAF"/>
    <s v="UEW_WEST"/>
    <n v="2000"/>
    <s v="PIT UCEX"/>
    <n v="594000"/>
    <x v="0"/>
    <s v="28SNS-EX520-248SNSPIT UCEX1"/>
    <n v="0.25"/>
    <s v="28SNS-SN568PIT UCEX1"/>
    <n v="1"/>
    <n v="594000"/>
    <s v="28SNS-SN568SNSSNS-EX520-2481"/>
    <n v="1"/>
    <s v="Week V"/>
    <s v="UEW"/>
    <s v="SNS-EX520-248SNS"/>
    <x v="0"/>
    <x v="1"/>
    <x v="1"/>
    <x v="0"/>
  </r>
  <r>
    <x v="25"/>
    <x v="0"/>
    <s v="SNS-SN582"/>
    <s v="SNS-EX520-248"/>
    <s v="UCEX"/>
    <n v="22"/>
    <n v="13.5"/>
    <n v="297"/>
    <s v="OB-PAF"/>
    <s v="UEW_WEST"/>
    <n v="2000"/>
    <s v="PIT UCEX"/>
    <n v="594000"/>
    <x v="0"/>
    <s v="28SNS-EX520-248SNSPIT UCEX1"/>
    <n v="0.25"/>
    <s v="28SNS-SN582PIT UCEX1"/>
    <n v="1"/>
    <n v="594000"/>
    <s v="28SNS-SN582SNSSNS-EX520-2481"/>
    <n v="1"/>
    <s v="Week V"/>
    <s v="UEW"/>
    <s v="SNS-EX520-248SNS"/>
    <x v="0"/>
    <x v="1"/>
    <x v="1"/>
    <x v="0"/>
  </r>
  <r>
    <x v="25"/>
    <x v="0"/>
    <s v="SNS-SN559"/>
    <s v="SNS-EX520-248"/>
    <s v="UCEX"/>
    <n v="22"/>
    <n v="13.5"/>
    <n v="297"/>
    <s v="OB-PAF"/>
    <s v="UEW_WEST"/>
    <n v="2000"/>
    <s v="PIT UCEX"/>
    <n v="594000"/>
    <x v="0"/>
    <s v="28SNS-EX520-248SNSPIT UCEX1"/>
    <n v="0.25"/>
    <s v="28SNS-SN559PIT UCEX1"/>
    <n v="1"/>
    <n v="594000"/>
    <s v="28SNS-SN559SNSSNS-EX520-2481"/>
    <n v="1"/>
    <s v="Week V"/>
    <s v="UEW"/>
    <s v="SNS-EX520-248SNS"/>
    <x v="0"/>
    <x v="1"/>
    <x v="1"/>
    <x v="0"/>
  </r>
  <r>
    <x v="25"/>
    <x v="0"/>
    <s v="SNS-SN569"/>
    <s v="SNS-EX520-248"/>
    <s v="UCEX"/>
    <n v="22"/>
    <n v="13.5"/>
    <n v="297"/>
    <s v="OB-PAF"/>
    <s v="UEW_WEST"/>
    <n v="2000"/>
    <s v="PIT UCEX"/>
    <n v="594000"/>
    <x v="0"/>
    <s v="28SNS-EX520-248SNSPIT UCEX1"/>
    <n v="0.25"/>
    <s v="28SNS-SN569PIT UCEX1"/>
    <n v="1"/>
    <n v="594000"/>
    <s v="28SNS-SN569SNSSNS-EX520-2481"/>
    <n v="1"/>
    <s v="Week V"/>
    <s v="UEW"/>
    <s v="SNS-EX520-248SNS"/>
    <x v="0"/>
    <x v="1"/>
    <x v="1"/>
    <x v="0"/>
  </r>
  <r>
    <x v="25"/>
    <x v="0"/>
    <s v="SNS-SN580"/>
    <s v="SNS-EX500-241"/>
    <s v="UCE_TJP"/>
    <n v="15"/>
    <n v="13.5"/>
    <n v="202.5"/>
    <s v="OB-PAF"/>
    <s v="Ex_Illegal"/>
    <n v="3000"/>
    <s v="UCE_TJP"/>
    <n v="607500"/>
    <x v="0"/>
    <s v="28SNS-EX500-241SNSUCE_TJP1"/>
    <n v="0.33333333333333331"/>
    <s v="28SNS-SN580UCE_TJP1"/>
    <n v="1"/>
    <n v="607500"/>
    <s v="28SNS-SN580SNSSNS-EX500-2411"/>
    <n v="1"/>
    <s v="Week V"/>
    <s v="Ex_Illegal"/>
    <s v="SNS-EX500-241SNS"/>
    <x v="0"/>
    <x v="2"/>
    <x v="0"/>
    <x v="0"/>
  </r>
  <r>
    <x v="25"/>
    <x v="0"/>
    <s v="SNS-SN572"/>
    <s v="SNS-EX500-241"/>
    <s v="UCE_TJP"/>
    <n v="15"/>
    <n v="13.5"/>
    <n v="202.5"/>
    <s v="OB-PAF"/>
    <s v="Ex_Illegal"/>
    <n v="3000"/>
    <s v="UCE_TJP"/>
    <n v="607500"/>
    <x v="0"/>
    <s v="28SNS-EX500-241SNSUCE_TJP1"/>
    <n v="0.33333333333333331"/>
    <s v="28SNS-SN572UCE_TJP1"/>
    <n v="1"/>
    <n v="607500"/>
    <s v="28SNS-SN572SNSSNS-EX500-2411"/>
    <n v="1"/>
    <s v="Week V"/>
    <s v="Ex_Illegal"/>
    <s v="SNS-EX500-241SNS"/>
    <x v="0"/>
    <x v="2"/>
    <x v="0"/>
    <x v="0"/>
  </r>
  <r>
    <x v="25"/>
    <x v="0"/>
    <s v="SNS-SN564"/>
    <s v="SNS-EX500-241"/>
    <s v="UCE_TJP"/>
    <n v="15"/>
    <n v="13.5"/>
    <n v="202.5"/>
    <s v="OB-PAF"/>
    <s v="Ex_Illegal"/>
    <n v="3000"/>
    <s v="UCE_TJP"/>
    <n v="607500"/>
    <x v="0"/>
    <s v="28SNS-EX500-241SNSUCE_TJP1"/>
    <n v="0.33333333333333331"/>
    <s v="28SNS-SN564UCE_TJP1"/>
    <n v="1"/>
    <n v="607500"/>
    <s v="28SNS-SN564SNSSNS-EX500-2411"/>
    <n v="1"/>
    <s v="Week V"/>
    <s v="Ex_Illegal"/>
    <s v="SNS-EX500-241SNS"/>
    <x v="0"/>
    <x v="2"/>
    <x v="0"/>
    <x v="0"/>
  </r>
  <r>
    <x v="26"/>
    <x v="0"/>
    <s v="SNS-SN608"/>
    <s v="SNS-EX520-248"/>
    <s v="UCEX"/>
    <n v="22"/>
    <n v="13.5"/>
    <n v="297"/>
    <s v="OB-PAF"/>
    <s v="UEW_WEST"/>
    <n v="2000"/>
    <s v="PIT UCEX"/>
    <n v="594000"/>
    <x v="0"/>
    <s v="29SNS-EX520-248SNSPIT UCEX1"/>
    <n v="0.16666666666666666"/>
    <s v="29SNS-SN608PIT UCEX1"/>
    <n v="1"/>
    <n v="594000"/>
    <s v="29SNS-SN608SNSSNS-EX520-2481"/>
    <n v="1"/>
    <s v="Week V"/>
    <s v="UEW"/>
    <s v="SNS-EX520-248SNS"/>
    <x v="0"/>
    <x v="1"/>
    <x v="1"/>
    <x v="0"/>
  </r>
  <r>
    <x v="26"/>
    <x v="0"/>
    <s v="SNS-SN568"/>
    <s v="SNS-EX520-248"/>
    <s v="UCEX"/>
    <n v="19"/>
    <n v="13.5"/>
    <n v="256.5"/>
    <s v="OB-PAF"/>
    <s v="UEW_WEST"/>
    <n v="2000"/>
    <s v="PIT UCEX"/>
    <n v="513000"/>
    <x v="0"/>
    <s v="29SNS-EX520-248SNSPIT UCEX1"/>
    <n v="0.16666666666666666"/>
    <s v="29SNS-SN568PIT UCEX1"/>
    <n v="1"/>
    <n v="513000"/>
    <s v="29SNS-SN568SNSSNS-EX520-2481"/>
    <n v="1"/>
    <s v="Week V"/>
    <s v="UEW"/>
    <s v="SNS-EX520-248SNS"/>
    <x v="0"/>
    <x v="1"/>
    <x v="1"/>
    <x v="0"/>
  </r>
  <r>
    <x v="26"/>
    <x v="0"/>
    <s v="SNS-SN609"/>
    <s v="SNS-EX520-248"/>
    <s v="UCEX"/>
    <n v="20"/>
    <n v="13.5"/>
    <n v="270"/>
    <s v="OB-PAF"/>
    <s v="UEW_WEST"/>
    <n v="2000"/>
    <s v="PIT UCEX"/>
    <n v="540000"/>
    <x v="0"/>
    <s v="29SNS-EX520-248SNSPIT UCEX1"/>
    <n v="0.16666666666666666"/>
    <s v="29SNS-SN609PIT UCEX1"/>
    <n v="1"/>
    <n v="540000"/>
    <s v="29SNS-SN609SNSSNS-EX520-2481"/>
    <n v="1"/>
    <s v="Week V"/>
    <s v="UEW"/>
    <s v="SNS-EX520-248SNS"/>
    <x v="0"/>
    <x v="1"/>
    <x v="1"/>
    <x v="0"/>
  </r>
  <r>
    <x v="26"/>
    <x v="0"/>
    <s v="SNS-SN574"/>
    <s v="SNS-EX520-248"/>
    <s v="UCEX"/>
    <n v="2"/>
    <n v="13.5"/>
    <n v="27"/>
    <s v="OB-PAF"/>
    <s v="UEW_WEST"/>
    <n v="2000"/>
    <s v="PIT UCEX"/>
    <n v="54000"/>
    <x v="0"/>
    <s v="29SNS-EX520-248SNSPIT UCEX1"/>
    <n v="0.16666666666666666"/>
    <s v="29SNS-SN574PIT UCEX1"/>
    <n v="0.5"/>
    <n v="54000"/>
    <s v="29SNS-SN574SNSSNS-EX520-2481"/>
    <n v="1"/>
    <s v="Week V"/>
    <s v="UEW"/>
    <s v="SNS-EX520-248SNS"/>
    <x v="0"/>
    <x v="1"/>
    <x v="1"/>
    <x v="0"/>
  </r>
  <r>
    <x v="26"/>
    <x v="0"/>
    <s v="SNS-SN582"/>
    <s v="SNS-EX520-248"/>
    <s v="UCEX"/>
    <n v="1"/>
    <n v="13.5"/>
    <n v="13.5"/>
    <s v="OB-PAF"/>
    <s v="UEW_WEST"/>
    <n v="2000"/>
    <s v="PIT UCEX"/>
    <n v="27000"/>
    <x v="0"/>
    <s v="29SNS-EX520-248SNSPIT UCEX1"/>
    <n v="0.16666666666666666"/>
    <s v="29SNS-SN582PIT UCEX1"/>
    <n v="0.5"/>
    <n v="27000"/>
    <s v="29SNS-SN582SNSSNS-EX520-2481"/>
    <n v="1"/>
    <s v="Week V"/>
    <s v="UEW"/>
    <s v="SNS-EX520-248SNS"/>
    <x v="0"/>
    <x v="1"/>
    <x v="1"/>
    <x v="0"/>
  </r>
  <r>
    <x v="26"/>
    <x v="0"/>
    <s v="SNS-SN580"/>
    <s v="SNS-EX520-248"/>
    <s v="UCEX"/>
    <n v="1"/>
    <n v="13.5"/>
    <n v="13.5"/>
    <s v="OB-PAF"/>
    <s v="UEW_WEST"/>
    <n v="2000"/>
    <s v="PIT UCEX"/>
    <n v="27000"/>
    <x v="0"/>
    <s v="29SNS-EX520-248SNSPIT UCEX1"/>
    <n v="0.16666666666666666"/>
    <s v="29SNS-SN580PIT UCEX1"/>
    <n v="0.5"/>
    <n v="27000"/>
    <s v="29SNS-SN580SNSSNS-EX520-2481"/>
    <n v="1"/>
    <s v="Week V"/>
    <s v="UEW"/>
    <s v="SNS-EX520-248SNS"/>
    <x v="0"/>
    <x v="1"/>
    <x v="1"/>
    <x v="0"/>
  </r>
  <r>
    <x v="26"/>
    <x v="0"/>
    <s v="SNS-SN582"/>
    <s v="SNS-EX500-234"/>
    <s v="UCEX"/>
    <n v="22"/>
    <n v="13.5"/>
    <n v="297"/>
    <s v="OB-PAF"/>
    <s v="UEW_WEST"/>
    <n v="2000"/>
    <s v="PIT UCEX"/>
    <n v="594000"/>
    <x v="0"/>
    <s v="29SNS-EX500-234SNSPIT UCEX1"/>
    <n v="0.33333333333333331"/>
    <s v="29SNS-SN582PIT UCEX1"/>
    <n v="0.5"/>
    <n v="594000"/>
    <s v="29SNS-SN582SNSSNS-EX500-2341"/>
    <n v="1"/>
    <s v="Week V"/>
    <s v="UEW"/>
    <s v="SNS-EX500-234SNS"/>
    <x v="0"/>
    <x v="1"/>
    <x v="1"/>
    <x v="0"/>
  </r>
  <r>
    <x v="26"/>
    <x v="0"/>
    <s v="SNS-SN580"/>
    <s v="SNS-EX500-234"/>
    <s v="UCEX"/>
    <n v="18"/>
    <n v="13.5"/>
    <n v="243"/>
    <s v="OB-PAF"/>
    <s v="UEW_WEST"/>
    <n v="2000"/>
    <s v="PIT UCEX"/>
    <n v="486000"/>
    <x v="0"/>
    <s v="29SNS-EX500-234SNSPIT UCEX1"/>
    <n v="0.33333333333333331"/>
    <s v="29SNS-SN580PIT UCEX1"/>
    <n v="0.5"/>
    <n v="486000"/>
    <s v="29SNS-SN580SNSSNS-EX500-2341"/>
    <n v="1"/>
    <s v="Week V"/>
    <s v="UEW"/>
    <s v="SNS-EX500-234SNS"/>
    <x v="0"/>
    <x v="1"/>
    <x v="1"/>
    <x v="0"/>
  </r>
  <r>
    <x v="26"/>
    <x v="0"/>
    <s v="SNS-SN574"/>
    <s v="SNS-EX500-234"/>
    <s v="UCEX"/>
    <n v="22"/>
    <n v="13.5"/>
    <n v="297"/>
    <s v="OB-PAF"/>
    <s v="UEW_WEST"/>
    <n v="2000"/>
    <s v="PIT UCEX"/>
    <n v="594000"/>
    <x v="0"/>
    <s v="29SNS-EX500-234SNSPIT UCEX1"/>
    <n v="0.33333333333333331"/>
    <s v="29SNS-SN574PIT UCEX1"/>
    <n v="0.5"/>
    <n v="594000"/>
    <s v="29SNS-SN574SNSSNS-EX500-2341"/>
    <n v="1"/>
    <s v="Week V"/>
    <s v="UEW"/>
    <s v="SNS-EX500-234SNS"/>
    <x v="0"/>
    <x v="1"/>
    <x v="1"/>
    <x v="0"/>
  </r>
  <r>
    <x v="24"/>
    <x v="0"/>
    <s v="SNS-SN573"/>
    <s v="SNS-EX500-241"/>
    <s v="UCE_TJP"/>
    <n v="13"/>
    <n v="13.5"/>
    <n v="175.5"/>
    <s v="OB-PAF"/>
    <s v="M2W"/>
    <n v="2000"/>
    <s v="UCE_TJP"/>
    <n v="351000"/>
    <x v="0"/>
    <s v="27SNS-EX500-241SNSUCE_TJP1"/>
    <n v="0.33333333333333331"/>
    <s v="27SNS-SN573UCE_TJP1"/>
    <n v="1"/>
    <n v="351000"/>
    <s v="27SNS-SN573SNSSNS-EX500-2411"/>
    <n v="1"/>
    <s v="Week V"/>
    <s v="M2W"/>
    <s v="SNS-EX500-241SNS"/>
    <x v="0"/>
    <x v="2"/>
    <x v="2"/>
    <x v="0"/>
  </r>
  <r>
    <x v="24"/>
    <x v="0"/>
    <s v="SNS-SN565"/>
    <s v="SNS-EX500-241"/>
    <s v="UCE_TJP"/>
    <n v="12"/>
    <n v="13.5"/>
    <n v="162"/>
    <s v="OB-PAF"/>
    <s v="M2W"/>
    <n v="2000"/>
    <s v="UCE_TJP"/>
    <n v="324000"/>
    <x v="0"/>
    <s v="27SNS-EX500-241SNSUCE_TJP1"/>
    <n v="0.33333333333333331"/>
    <s v="27SNS-SN565UCE_TJP1"/>
    <n v="1"/>
    <n v="324000"/>
    <s v="27SNS-SN565SNSSNS-EX500-2411"/>
    <n v="1"/>
    <s v="Week V"/>
    <s v="M2W"/>
    <s v="SNS-EX500-241SNS"/>
    <x v="0"/>
    <x v="2"/>
    <x v="2"/>
    <x v="0"/>
  </r>
  <r>
    <x v="24"/>
    <x v="0"/>
    <s v="SNS-SN580"/>
    <s v="SNS-EX500-241"/>
    <s v="UCE_TJP"/>
    <n v="14"/>
    <n v="13.5"/>
    <n v="189"/>
    <s v="OB-PAF"/>
    <s v="M2W"/>
    <n v="2000"/>
    <s v="UCE_TJP"/>
    <n v="378000"/>
    <x v="0"/>
    <s v="27SNS-EX500-241SNSUCE_TJP1"/>
    <n v="0.33333333333333331"/>
    <s v="27SNS-SN580UCE_TJP1"/>
    <n v="1"/>
    <n v="378000"/>
    <s v="27SNS-SN580SNSSNS-EX500-2411"/>
    <n v="1"/>
    <s v="Week V"/>
    <s v="M2W"/>
    <s v="SNS-EX500-241SNS"/>
    <x v="0"/>
    <x v="2"/>
    <x v="2"/>
    <x v="0"/>
  </r>
  <r>
    <x v="26"/>
    <x v="0"/>
    <s v="SNS-SN563"/>
    <s v="SNS-EX500-241"/>
    <s v="UCE_TJP"/>
    <n v="8"/>
    <n v="13.5"/>
    <n v="108"/>
    <s v="OB-PAF"/>
    <s v="Ex_Illegal"/>
    <n v="3000"/>
    <s v="UCE_TJP"/>
    <n v="324000"/>
    <x v="0"/>
    <s v="29SNS-EX500-241SNSUCE_TJP1"/>
    <n v="0.2"/>
    <s v="29SNS-SN563UCE_TJP1"/>
    <n v="1"/>
    <n v="324000"/>
    <s v="29SNS-SN563SNSSNS-EX500-2411"/>
    <n v="1"/>
    <s v="Week V"/>
    <s v="Ex_Illegal"/>
    <s v="SNS-EX500-241SNS"/>
    <x v="0"/>
    <x v="2"/>
    <x v="0"/>
    <x v="0"/>
  </r>
  <r>
    <x v="26"/>
    <x v="0"/>
    <s v="SNS-SN564"/>
    <s v="SNS-EX500-241"/>
    <s v="UCE_TJP"/>
    <n v="8"/>
    <n v="13.5"/>
    <n v="108"/>
    <s v="OB-PAF"/>
    <s v="Ex_Illegal"/>
    <n v="3000"/>
    <s v="UCE_TJP"/>
    <n v="324000"/>
    <x v="0"/>
    <s v="29SNS-EX500-241SNSUCE_TJP1"/>
    <n v="0.2"/>
    <s v="29SNS-SN564UCE_TJP1"/>
    <n v="1"/>
    <n v="324000"/>
    <s v="29SNS-SN564SNSSNS-EX500-2411"/>
    <n v="1"/>
    <s v="Week V"/>
    <s v="Ex_Illegal"/>
    <s v="SNS-EX500-241SNS"/>
    <x v="0"/>
    <x v="2"/>
    <x v="0"/>
    <x v="0"/>
  </r>
  <r>
    <x v="26"/>
    <x v="0"/>
    <s v="SNS-SN565"/>
    <s v="SNS-EX500-241"/>
    <s v="UCE_TJP"/>
    <n v="4"/>
    <n v="13.5"/>
    <n v="54"/>
    <s v="OB-PAF"/>
    <s v="Ex_Illegal"/>
    <n v="3000"/>
    <s v="UCE_TJP"/>
    <n v="162000"/>
    <x v="0"/>
    <s v="29SNS-EX500-241SNSUCE_TJP1"/>
    <n v="0.2"/>
    <s v="29SNS-SN565UCE_TJP1"/>
    <n v="1"/>
    <n v="162000"/>
    <s v="29SNS-SN565SNSSNS-EX500-2411"/>
    <n v="1"/>
    <s v="Week V"/>
    <s v="Ex_Illegal"/>
    <s v="SNS-EX500-241SNS"/>
    <x v="0"/>
    <x v="2"/>
    <x v="0"/>
    <x v="0"/>
  </r>
  <r>
    <x v="26"/>
    <x v="0"/>
    <s v="SNS-SN573"/>
    <s v="SNS-EX500-241"/>
    <s v="UCE_TJP"/>
    <n v="9"/>
    <n v="13.5"/>
    <n v="121.5"/>
    <s v="OB-PAF"/>
    <s v="Ex_Illegal"/>
    <n v="3000"/>
    <s v="UCE_TJP"/>
    <n v="364500"/>
    <x v="0"/>
    <s v="29SNS-EX500-241SNSUCE_TJP1"/>
    <n v="0.2"/>
    <s v="29SNS-SN573UCE_TJP1"/>
    <n v="1"/>
    <n v="364500"/>
    <s v="29SNS-SN573SNSSNS-EX500-2411"/>
    <n v="1"/>
    <s v="Week V"/>
    <s v="Ex_Illegal"/>
    <s v="SNS-EX500-241SNS"/>
    <x v="0"/>
    <x v="2"/>
    <x v="0"/>
    <x v="0"/>
  </r>
  <r>
    <x v="26"/>
    <x v="0"/>
    <s v="SNS-SN579"/>
    <s v="SNS-EX500-241"/>
    <s v="UCE_TJP"/>
    <n v="4"/>
    <n v="13.5"/>
    <n v="54"/>
    <s v="OB-PAF"/>
    <s v="Ex_Illegal"/>
    <n v="3000"/>
    <s v="UCE_TJP"/>
    <n v="162000"/>
    <x v="0"/>
    <s v="29SNS-EX500-241SNSUCE_TJP1"/>
    <n v="0.2"/>
    <s v="29SNS-SN579UCE_TJP1"/>
    <n v="1"/>
    <n v="162000"/>
    <s v="29SNS-SN579SNSSNS-EX500-2411"/>
    <n v="1"/>
    <s v="Week V"/>
    <s v="Ex_Illegal"/>
    <s v="SNS-EX500-241SNS"/>
    <x v="0"/>
    <x v="2"/>
    <x v="0"/>
    <x v="0"/>
  </r>
  <r>
    <x v="27"/>
    <x v="0"/>
    <s v="SNS-SN573"/>
    <s v="SNS-EX500-241"/>
    <s v="UCE_TJP"/>
    <n v="3"/>
    <n v="13.5"/>
    <n v="40.5"/>
    <s v="OB-PAF"/>
    <s v="Ex_Illegal"/>
    <n v="3000"/>
    <s v="UCE_TJP"/>
    <n v="121500"/>
    <x v="0"/>
    <s v="30SNS-EX500-241SNSUCE_TJP1"/>
    <n v="0.2"/>
    <s v="30SNS-SN573UCE_TJP1"/>
    <n v="1"/>
    <n v="121500"/>
    <s v="30SNS-SN573SNSSNS-EX500-2411"/>
    <n v="1"/>
    <s v="Week V"/>
    <s v="Ex_Illegal"/>
    <s v="SNS-EX500-241SNS"/>
    <x v="0"/>
    <x v="2"/>
    <x v="0"/>
    <x v="0"/>
  </r>
  <r>
    <x v="27"/>
    <x v="0"/>
    <s v="SNS-SN565"/>
    <s v="SNS-EX500-241"/>
    <s v="UCE_TJP"/>
    <n v="6"/>
    <n v="13.5"/>
    <n v="81"/>
    <s v="OB-PAF"/>
    <s v="Ex_Illegal"/>
    <n v="3000"/>
    <s v="UCE_TJP"/>
    <n v="243000"/>
    <x v="0"/>
    <s v="30SNS-EX500-241SNSUCE_TJP1"/>
    <n v="0.2"/>
    <s v="30SNS-SN565UCE_TJP1"/>
    <n v="1"/>
    <n v="243000"/>
    <s v="30SNS-SN565SNSSNS-EX500-2411"/>
    <n v="1"/>
    <s v="Week V"/>
    <s v="Ex_Illegal"/>
    <s v="SNS-EX500-241SNS"/>
    <x v="0"/>
    <x v="2"/>
    <x v="0"/>
    <x v="0"/>
  </r>
  <r>
    <x v="27"/>
    <x v="0"/>
    <s v="SNS-SN564"/>
    <s v="SNS-EX500-241"/>
    <s v="UCE_TJP"/>
    <n v="9"/>
    <n v="13.5"/>
    <n v="121.5"/>
    <s v="OB-PAF"/>
    <s v="Ex_Illegal"/>
    <n v="3000"/>
    <s v="UCE_TJP"/>
    <n v="364500"/>
    <x v="0"/>
    <s v="30SNS-EX500-241SNSUCE_TJP1"/>
    <n v="0.2"/>
    <s v="30SNS-SN564UCE_TJP1"/>
    <n v="1"/>
    <n v="364500"/>
    <s v="30SNS-SN564SNSSNS-EX500-2411"/>
    <n v="1"/>
    <s v="Week V"/>
    <s v="Ex_Illegal"/>
    <s v="SNS-EX500-241SNS"/>
    <x v="0"/>
    <x v="2"/>
    <x v="0"/>
    <x v="0"/>
  </r>
  <r>
    <x v="27"/>
    <x v="0"/>
    <s v="SNS-SN579"/>
    <s v="SNS-EX500-241"/>
    <s v="UCE_TJP"/>
    <n v="2"/>
    <n v="13.5"/>
    <n v="27"/>
    <s v="OB-PAF"/>
    <s v="Ex_Illegal"/>
    <n v="3000"/>
    <s v="UCE_TJP"/>
    <n v="81000"/>
    <x v="0"/>
    <s v="30SNS-EX500-241SNSUCE_TJP1"/>
    <n v="0.2"/>
    <s v="30SNS-SN579UCE_TJP1"/>
    <n v="1"/>
    <n v="81000"/>
    <s v="30SNS-SN579SNSSNS-EX500-2411"/>
    <n v="1"/>
    <s v="Week V"/>
    <s v="Ex_Illegal"/>
    <s v="SNS-EX500-241SNS"/>
    <x v="0"/>
    <x v="2"/>
    <x v="0"/>
    <x v="0"/>
  </r>
  <r>
    <x v="27"/>
    <x v="0"/>
    <s v="SNS-SN563"/>
    <s v="SNS-EX500-241"/>
    <s v="UCE_TJP"/>
    <n v="7"/>
    <n v="13.5"/>
    <n v="94.5"/>
    <s v="OB-PAF"/>
    <s v="Ex_Illegal"/>
    <n v="3000"/>
    <s v="UCE_TJP"/>
    <n v="283500"/>
    <x v="0"/>
    <s v="30SNS-EX500-241SNSUCE_TJP1"/>
    <n v="0.2"/>
    <s v="30SNS-SN563UCE_TJP1"/>
    <n v="1"/>
    <n v="283500"/>
    <s v="30SNS-SN563SNSSNS-EX500-2411"/>
    <n v="1"/>
    <s v="Week V"/>
    <s v="Ex_Illegal"/>
    <s v="SNS-EX500-241SNS"/>
    <x v="0"/>
    <x v="2"/>
    <x v="0"/>
    <x v="0"/>
  </r>
  <r>
    <x v="27"/>
    <x v="0"/>
    <s v="SNS-SN574"/>
    <s v="SNS-EX500-234"/>
    <s v="UCEX"/>
    <n v="13"/>
    <n v="13.5"/>
    <n v="175.5"/>
    <s v="OB-PAF"/>
    <s v="UEW_WEST"/>
    <n v="2000"/>
    <s v="PIT UCEX"/>
    <n v="351000"/>
    <x v="0"/>
    <s v="30SNS-EX500-234SNSPIT UCEX1"/>
    <n v="0.25"/>
    <s v="30SNS-SN574PIT UCEX1"/>
    <n v="1"/>
    <n v="351000"/>
    <s v="30SNS-SN574SNSSNS-EX500-2341"/>
    <n v="1"/>
    <s v="Week V"/>
    <s v="UEW"/>
    <s v="SNS-EX500-234SNS"/>
    <x v="0"/>
    <x v="1"/>
    <x v="1"/>
    <x v="0"/>
  </r>
  <r>
    <x v="27"/>
    <x v="0"/>
    <s v="SNS-SN582"/>
    <s v="SNS-EX500-234"/>
    <s v="UCEX"/>
    <n v="14"/>
    <n v="13.5"/>
    <n v="189"/>
    <s v="OB-PAF"/>
    <s v="UEW_WEST"/>
    <n v="2000"/>
    <s v="PIT UCEX"/>
    <n v="378000"/>
    <x v="0"/>
    <s v="30SNS-EX500-234SNSPIT UCEX1"/>
    <n v="0.25"/>
    <s v="30SNS-SN582PIT UCEX1"/>
    <n v="1"/>
    <n v="378000"/>
    <s v="30SNS-SN582SNSSNS-EX500-2341"/>
    <n v="1"/>
    <s v="Week V"/>
    <s v="UEW"/>
    <s v="SNS-EX500-234SNS"/>
    <x v="0"/>
    <x v="1"/>
    <x v="1"/>
    <x v="0"/>
  </r>
  <r>
    <x v="27"/>
    <x v="0"/>
    <s v="SNS-SN561"/>
    <s v="SNS-EX500-234"/>
    <s v="UCEX"/>
    <n v="13"/>
    <n v="13.5"/>
    <n v="175.5"/>
    <s v="OB-PAF"/>
    <s v="UEW_WEST"/>
    <n v="2000"/>
    <s v="PIT UCEX"/>
    <n v="351000"/>
    <x v="0"/>
    <s v="30SNS-EX500-234SNSPIT UCEX1"/>
    <n v="0.25"/>
    <s v="30SNS-SN561PIT UCEX1"/>
    <n v="1"/>
    <n v="351000"/>
    <s v="30SNS-SN561SNSSNS-EX500-2341"/>
    <n v="1"/>
    <s v="Week V"/>
    <s v="UEW"/>
    <s v="SNS-EX500-234SNS"/>
    <x v="0"/>
    <x v="1"/>
    <x v="1"/>
    <x v="0"/>
  </r>
  <r>
    <x v="27"/>
    <x v="0"/>
    <s v="SNS-SN567"/>
    <s v="SNS-EX500-234"/>
    <s v="UCEX"/>
    <n v="12"/>
    <n v="13.5"/>
    <n v="162"/>
    <s v="OB-PAF"/>
    <s v="UEW_WEST"/>
    <n v="2000"/>
    <s v="PIT UCEX"/>
    <n v="324000"/>
    <x v="0"/>
    <s v="30SNS-EX500-234SNSPIT UCEX1"/>
    <n v="0.25"/>
    <s v="30SNS-SN567PIT UCEX1"/>
    <n v="1"/>
    <n v="324000"/>
    <s v="30SNS-SN567SNSSNS-EX500-2341"/>
    <n v="1"/>
    <s v="Week V"/>
    <s v="UEW"/>
    <s v="SNS-EX500-234SNS"/>
    <x v="0"/>
    <x v="1"/>
    <x v="1"/>
    <x v="0"/>
  </r>
  <r>
    <x v="27"/>
    <x v="0"/>
    <s v="SNS-SN606"/>
    <s v="SNS-EX520-248"/>
    <s v="UCEX"/>
    <n v="11"/>
    <n v="13.5"/>
    <n v="148.5"/>
    <s v="OB-PAF"/>
    <s v="UEW_WEST"/>
    <n v="2000"/>
    <s v="PIT UCEX"/>
    <n v="297000"/>
    <x v="0"/>
    <s v="30SNS-EX520-248SNSPIT UCEX1"/>
    <n v="0.25"/>
    <s v="30SNS-SN606PIT UCEX1"/>
    <n v="1"/>
    <n v="297000"/>
    <s v="30SNS-SN606SNSSNS-EX520-2481"/>
    <n v="1"/>
    <s v="Week V"/>
    <s v="UEW"/>
    <s v="SNS-EX520-248SNS"/>
    <x v="1"/>
    <x v="1"/>
    <x v="1"/>
    <x v="0"/>
  </r>
  <r>
    <x v="27"/>
    <x v="0"/>
    <s v="SNS-SN568"/>
    <s v="SNS-EX520-248"/>
    <s v="UCEX"/>
    <n v="12"/>
    <n v="13.5"/>
    <n v="162"/>
    <s v="OB-PAF"/>
    <s v="UEW_WEST"/>
    <n v="2000"/>
    <s v="PIT UCEX"/>
    <n v="324000"/>
    <x v="0"/>
    <s v="30SNS-EX520-248SNSPIT UCEX1"/>
    <n v="0.25"/>
    <s v="30SNS-SN568PIT UCEX1"/>
    <n v="1"/>
    <n v="324000"/>
    <s v="30SNS-SN568SNSSNS-EX520-2481"/>
    <n v="1"/>
    <s v="Week V"/>
    <s v="UEW"/>
    <s v="SNS-EX520-248SNS"/>
    <x v="0"/>
    <x v="1"/>
    <x v="1"/>
    <x v="0"/>
  </r>
  <r>
    <x v="27"/>
    <x v="0"/>
    <s v="SNS-SN604"/>
    <s v="SNS-EX520-248"/>
    <s v="UCEX"/>
    <n v="12"/>
    <n v="13.5"/>
    <n v="162"/>
    <s v="OB-PAF"/>
    <s v="UEW_WEST"/>
    <n v="2000"/>
    <s v="PIT UCEX"/>
    <n v="324000"/>
    <x v="0"/>
    <s v="30SNS-EX520-248SNSPIT UCEX1"/>
    <n v="0.25"/>
    <s v="30SNS-SN604PIT UCEX1"/>
    <n v="1"/>
    <n v="324000"/>
    <s v="30SNS-SN604SNSSNS-EX520-2481"/>
    <n v="1"/>
    <s v="Week V"/>
    <s v="UEW"/>
    <s v="SNS-EX520-248SNS"/>
    <x v="1"/>
    <x v="1"/>
    <x v="1"/>
    <x v="0"/>
  </r>
  <r>
    <x v="27"/>
    <x v="0"/>
    <s v="SNS-SN608"/>
    <s v="SNS-EX520-248"/>
    <s v="UCEX"/>
    <n v="10"/>
    <n v="13.5"/>
    <n v="135"/>
    <s v="OB-PAF"/>
    <s v="UEW_WEST"/>
    <n v="2000"/>
    <s v="PIT UCEX"/>
    <n v="270000"/>
    <x v="0"/>
    <s v="30SNS-EX520-248SNSPIT UCEX1"/>
    <n v="0.25"/>
    <s v="30SNS-SN608PIT UCEX1"/>
    <n v="1"/>
    <n v="270000"/>
    <s v="30SNS-SN608SNSSNS-EX520-2481"/>
    <n v="1"/>
    <s v="Week V"/>
    <s v="UEW"/>
    <s v="SNS-EX520-248SNS"/>
    <x v="0"/>
    <x v="1"/>
    <x v="1"/>
    <x v="0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  <r>
    <x v="28"/>
    <x v="1"/>
    <m/>
    <m/>
    <m/>
    <m/>
    <m/>
    <m/>
    <m/>
    <m/>
    <m/>
    <m/>
    <n v="0"/>
    <x v="1"/>
    <s v=""/>
    <n v="5.8823529411764705E-3"/>
    <s v=""/>
    <n v="5.8823529411764705E-3"/>
    <n v="0"/>
    <s v=""/>
    <n v="5.8823529411764705E-3"/>
    <e v="#N/A"/>
    <e v="#N/A"/>
    <s v=""/>
    <x v="2"/>
    <x v="3"/>
    <x v="3"/>
    <x v="1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y" xr10:uid="{00000000-0013-0000-FFFF-FFFF01000000}" sourceName="Day">
  <data>
    <tabular pivotCacheId="1">
      <items count="32">
        <i x="0"/>
        <i x="1"/>
        <i x="2"/>
        <i x="3"/>
        <i x="4"/>
        <i x="5"/>
        <i x="6"/>
        <i x="7"/>
        <i x="29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30"/>
        <i x="22"/>
        <i x="23"/>
        <i x="24"/>
        <i x="25"/>
        <i x="26"/>
        <i x="27" s="1"/>
        <i x="31"/>
        <i x="2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y" xr10:uid="{00000000-0014-0000-FFFF-FFFF01000000}" cache="Slicer_Day" caption="Day" startItem="9" columnCount="9" style="SlicerStyleLight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N11" totalsRowShown="0">
  <autoFilter ref="A1:N11" xr:uid="{00000000-0009-0000-0100-000002000000}"/>
  <tableColumns count="14">
    <tableColumn id="1" xr3:uid="{00000000-0010-0000-0000-000001000000}" name="Date" dataDxfId="67"/>
    <tableColumn id="2" xr3:uid="{00000000-0010-0000-0000-000002000000}" name="Shift" dataDxfId="66"/>
    <tableColumn id="3" xr3:uid="{00000000-0010-0000-0000-000003000000}" name="MATERIAL" dataDxfId="65"/>
    <tableColumn id="4" xr3:uid="{00000000-0010-0000-0000-000004000000}" name="TUJUAN" dataDxfId="64"/>
    <tableColumn id="5" xr3:uid="{00000000-0010-0000-0000-000005000000}" name="EXCAVATOR" dataDxfId="63"/>
    <tableColumn id="6" xr3:uid="{00000000-0010-0000-0000-000006000000}" name="NO. DT" dataDxfId="62"/>
    <tableColumn id="7" xr3:uid="{00000000-0010-0000-0000-000007000000}" name="TOTAL RIT" dataDxfId="61"/>
    <tableColumn id="8" xr3:uid="{00000000-0010-0000-0000-000008000000}" name="TOTAL TON" dataDxfId="60"/>
    <tableColumn id="9" xr3:uid="{00000000-0010-0000-0000-000009000000}" name="CAP." dataDxfId="59"/>
    <tableColumn id="10" xr3:uid="{00000000-0010-0000-0000-00000A000000}" name="SEAM" dataDxfId="58"/>
    <tableColumn id="11" xr3:uid="{00000000-0010-0000-0000-00000B000000}" name="PIT" dataDxfId="57"/>
    <tableColumn id="12" xr3:uid="{00000000-0010-0000-0000-00000C000000}" name="DISTANCE" dataDxfId="56"/>
    <tableColumn id="13" xr3:uid="{00000000-0010-0000-0000-00000D000000}" name="Contractor" dataDxfId="55"/>
    <tableColumn id="14" xr3:uid="{00000000-0010-0000-0000-00000E000000}" name="Weekly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NTRACTOR" displayName="CONTRACTOR" ref="Y1:Y3" totalsRowShown="0">
  <autoFilter ref="Y1:Y3" xr:uid="{00000000-0009-0000-0100-000003000000}"/>
  <tableColumns count="1">
    <tableColumn id="1" xr3:uid="{00000000-0010-0000-0100-000001000000}" name="CONTR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IT" displayName="PIT" ref="AA1:AB5" totalsRowShown="0">
  <autoFilter ref="AA1:AB5" xr:uid="{00000000-0009-0000-0100-000004000000}"/>
  <tableColumns count="2">
    <tableColumn id="1" xr3:uid="{00000000-0010-0000-0200-000001000000}" name="PIT"/>
    <tableColumn id="2" xr3:uid="{00000000-0010-0000-0200-000002000000}" name="Dumm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8" displayName="Table8" ref="Y7:Y9" totalsRowShown="0">
  <autoFilter ref="Y7:Y9" xr:uid="{00000000-0009-0000-0100-000005000000}"/>
  <tableColumns count="1">
    <tableColumn id="1" xr3:uid="{00000000-0010-0000-0300-000001000000}" name="RAINFALL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Rainfall" displayName="Rainfall" ref="A1:W67" totalsRowShown="0">
  <autoFilter ref="A1:W67" xr:uid="{00000000-0009-0000-0100-000006000000}"/>
  <tableColumns count="23">
    <tableColumn id="1" xr3:uid="{00000000-0010-0000-0400-000001000000}" name="DAY" dataDxfId="53"/>
    <tableColumn id="2" xr3:uid="{00000000-0010-0000-0400-000002000000}" name="PIT" dataDxfId="52"/>
    <tableColumn id="3" xr3:uid="{00000000-0010-0000-0400-000003000000}" name="CONTRACTOR" dataDxfId="51"/>
    <tableColumn id="4" xr3:uid="{00000000-0010-0000-0400-000004000000}" name="START" dataDxfId="50"/>
    <tableColumn id="5" xr3:uid="{00000000-0010-0000-0400-000005000000}" name="FINISH" dataDxfId="49"/>
    <tableColumn id="6" xr3:uid="{00000000-0010-0000-0400-000006000000}" name="timS" dataDxfId="48">
      <calculatedColumnFormula>TIME(HOUR(Rainfall[[#This Row],[START]]),MINUTE(Rainfall[[#This Row],[START]]),0)</calculatedColumnFormula>
    </tableColumn>
    <tableColumn id="7" xr3:uid="{00000000-0010-0000-0400-000007000000}" name="timF" dataDxfId="47">
      <calculatedColumnFormula>TIME(HOUR(Rainfall[[#This Row],[FINISH]]),MINUTE(Rainfall[[#This Row],[FINISH]]),0)</calculatedColumnFormula>
    </tableColumn>
    <tableColumn id="8" xr3:uid="{00000000-0010-0000-0400-000008000000}" name="clasT" dataDxfId="46">
      <calculatedColumnFormula>IF(AND(DAY(E2)=DAY(D2),F2&lt;=TIME(12,0,0),G2&lt;=TIME(12,0,0)),1,IF(AND(DAY(E2)=DAY(D2),F2&lt;=TIME(12,0,0),G2&gt;TIME(12,0,0)),2,IF(AND(DAY(E2)=DAY(D2),F2&gt;TIME(12,0,0),G2&gt;TIME(12,0,0)),3,IF(AND(DAY(E2)&gt;DAY(D2),F2&gt;TIME(12,0,0),G2=TIME(0,0,0)),4,IF(AND(DAY(E2)&gt;DAY(D2),F2&lt;=TIME(12,0,0),G2=TIME(0,0,0)),5,6)))))</calculatedColumnFormula>
    </tableColumn>
    <tableColumn id="9" xr3:uid="{00000000-0010-0000-0400-000009000000}" name="AM" dataDxfId="45">
      <calculatedColumnFormula>ROUNDUP(IF(H2=1,(G2-F2)*24,IF(H2=2,(TIME(12,0,0)-F2)*24,IF(H2=3,0,IF(H2=4,0,(TIME(12,0,0)-F2)*24)))),2)</calculatedColumnFormula>
    </tableColumn>
    <tableColumn id="10" xr3:uid="{00000000-0010-0000-0400-00000A000000}" name="PM" dataDxfId="44">
      <calculatedColumnFormula>ROUNDUP(IF(H2=1,0,IF(H2=2,(G2-TIME(12,0,0))*24,IF(H2=3,(G2-F2)*24,IF(H2=4,(TIME(23,59,59)-F2)*24,((TIME(12,0,0)*24)))))),2)</calculatedColumnFormula>
    </tableColumn>
    <tableColumn id="11" xr3:uid="{00000000-0010-0000-0400-00000B000000}" name="Duration" dataDxfId="43">
      <calculatedColumnFormula>IF((E2-D2)*24=0,"",(E2-D2)*24)</calculatedColumnFormula>
    </tableColumn>
    <tableColumn id="12" xr3:uid="{00000000-0010-0000-0400-00000C000000}" name="RAINFALL (mm)" dataDxfId="42"/>
    <tableColumn id="14" xr3:uid="{00000000-0010-0000-0400-00000E000000}" name="Freq." dataDxfId="41"/>
    <tableColumn id="13" xr3:uid="{00000000-0010-0000-0400-00000D000000}" name="REMARK" dataDxfId="40"/>
    <tableColumn id="15" xr3:uid="{00000000-0010-0000-0400-00000F000000}" name="Dummy" dataDxfId="39">
      <calculatedColumnFormula>Rainfall[[#This Row],[DAY]]&amp;Rainfall[[#This Row],[Freq.]]&amp;Rainfall[[#This Row],[PIT]]&amp;Rainfall[[#This Row],[REMARK]]</calculatedColumnFormula>
    </tableColumn>
    <tableColumn id="16" xr3:uid="{00000000-0010-0000-0400-000010000000}" name="AdjR" dataDxfId="38">
      <calculatedColumnFormula>IF(RIGHT(Rainfall[[#This Row],[REMARK]],4)="RAIN",CONCATENATE(TEXT(Rainfall[[#This Row],[timS]],"[hh]:mm")," s/d ",TEXT(IF(Rainfall[[#This Row],[timF]]=TIME(0,0,0),TIME(23,59,59),Rainfall[[#This Row],[timF]]),"[hh]:mm")),"")</calculatedColumnFormula>
    </tableColumn>
    <tableColumn id="17" xr3:uid="{00000000-0010-0000-0400-000011000000}" name="AdjR1" dataDxfId="37">
      <calculatedColumnFormula>Rainfall[[#This Row],[AdjR]]</calculatedColumnFormula>
    </tableColumn>
    <tableColumn id="18" xr3:uid="{00000000-0010-0000-0400-000012000000}" name="AdjS" dataDxfId="36">
      <calculatedColumnFormula>IF(RIGHT(Rainfall[[#This Row],[REMARK]],4)="SLIP",CONCATENATE(TEXT(Rainfall[[#This Row],[timS]],"[hh]:mm")," s/d ",TEXT(IF(Rainfall[[#This Row],[timF]]=TIME(0,0,0),TIME(23,59,59),Rainfall[[#This Row],[timF]]),"[hh]:mm")),"")</calculatedColumnFormula>
    </tableColumn>
    <tableColumn id="19" xr3:uid="{00000000-0010-0000-0400-000013000000}" name="AdjS1" dataDxfId="35">
      <calculatedColumnFormula>Rainfall[[#This Row],[AdjS]]</calculatedColumnFormula>
    </tableColumn>
    <tableColumn id="22" xr3:uid="{00000000-0010-0000-0400-000016000000}" name="MM" dataDxfId="34">
      <calculatedColumnFormula>Rainfall[[#This Row],[RAINFALL (mm)]]</calculatedColumnFormula>
    </tableColumn>
    <tableColumn id="20" xr3:uid="{00000000-0010-0000-0400-000014000000}" name="Dummy_Freq" dataDxfId="33">
      <calculatedColumnFormula>Rainfall[[#This Row],[DAY]]&amp;Rainfall[[#This Row],[REMARK]]&amp;Rainfall[[#This Row],[CONTRACTOR]]</calculatedColumnFormula>
    </tableColumn>
    <tableColumn id="21" xr3:uid="{00000000-0010-0000-0400-000015000000}" name="Freq" dataDxfId="32">
      <calculatedColumnFormula>IF(Rainfall[[#This Row],[REMARK]]="Rain",1,"")</calculatedColumnFormula>
    </tableColumn>
    <tableColumn id="23" xr3:uid="{00000000-0010-0000-0400-000017000000}" name="Weekly" dataDxfId="31">
      <calculatedColumnFormula>VLOOKUP($A2,OB!$AO$2:$AR$32,4,0)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ype_DT" displayName="Type_DT" ref="A1:G168" totalsRowShown="0">
  <autoFilter ref="A1:G168" xr:uid="{00000000-0009-0000-0100-000007000000}"/>
  <tableColumns count="7">
    <tableColumn id="1" xr3:uid="{00000000-0010-0000-0500-000001000000}" name="Number" dataDxfId="30">
      <calculatedColumnFormula>RIGHT(Type_DT[[#This Row],[Nama DT]],3)</calculatedColumnFormula>
    </tableColumn>
    <tableColumn id="2" xr3:uid="{00000000-0010-0000-0500-000002000000}" name="Nama DT" dataDxfId="29"/>
    <tableColumn id="3" xr3:uid="{00000000-0010-0000-0500-000003000000}" name="OB" dataDxfId="28"/>
    <tableColumn id="5" xr3:uid="{00000000-0010-0000-0500-000005000000}" name="Mud" dataDxfId="27"/>
    <tableColumn id="4" xr3:uid="{00000000-0010-0000-0500-000004000000}" name="Type" dataDxfId="26"/>
    <tableColumn id="6" xr3:uid="{00000000-0010-0000-0500-000006000000}" name="Column1" dataDxfId="25"/>
    <tableColumn id="7" xr3:uid="{00000000-0010-0000-0500-000007000000}" name="Cap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OB_Act" displayName="OB_Act" ref="A1:AB292" totalsRowShown="0">
  <autoFilter ref="A1:AB292" xr:uid="{00000000-0009-0000-0100-000008000000}"/>
  <tableColumns count="28">
    <tableColumn id="1" xr3:uid="{00000000-0010-0000-0600-000001000000}" name="Day"/>
    <tableColumn id="2" xr3:uid="{00000000-0010-0000-0600-000002000000}" name="Shift" dataDxfId="23"/>
    <tableColumn id="3" xr3:uid="{00000000-0010-0000-0600-000003000000}" name="Dump Truck"/>
    <tableColumn id="4" xr3:uid="{00000000-0010-0000-0600-000004000000}" name="Excavator"/>
    <tableColumn id="5" xr3:uid="{00000000-0010-0000-0600-000005000000}" name="Seam"/>
    <tableColumn id="6" xr3:uid="{00000000-0010-0000-0600-000006000000}" name="Trip"/>
    <tableColumn id="7" xr3:uid="{00000000-0010-0000-0600-000007000000}" name="Cap. (BCM/Trip)"/>
    <tableColumn id="8" xr3:uid="{00000000-0010-0000-0600-000008000000}" name="Volume (BCM)"/>
    <tableColumn id="9" xr3:uid="{00000000-0010-0000-0600-000009000000}" name="Material"/>
    <tableColumn id="10" xr3:uid="{00000000-0010-0000-0600-00000A000000}" name="Dump Area"/>
    <tableColumn id="11" xr3:uid="{00000000-0010-0000-0600-00000B000000}" name="Distance (Meter)"/>
    <tableColumn id="12" xr3:uid="{00000000-0010-0000-0600-00000C000000}" name="Pit"/>
    <tableColumn id="28" xr3:uid="{00000000-0010-0000-0600-00001C000000}" name="Distance" dataDxfId="22">
      <calculatedColumnFormula>OB_Act[[#This Row],[Volume (BCM)]]*OB_Act[[#This Row],[Distance (Meter)]]</calculatedColumnFormula>
    </tableColumn>
    <tableColumn id="17" xr3:uid="{00000000-0010-0000-0600-000011000000}" name="Contractor" dataDxfId="21">
      <calculatedColumnFormula>LEFT(OB_Act[[#This Row],[Dump Truck]],3)</calculatedColumnFormula>
    </tableColumn>
    <tableColumn id="13" xr3:uid="{00000000-0010-0000-0600-00000D000000}" name="Dummy_Exc" dataDxfId="20">
      <calculatedColumnFormula>OB_Act[[#This Row],[Day]]&amp;OB_Act[[#This Row],[Excavator]]&amp;OB_Act[[#This Row],[Contractor]]&amp;OB_Act[[#This Row],[Pit]]&amp;OB_Act[[#This Row],[Shift]]</calculatedColumnFormula>
    </tableColumn>
    <tableColumn id="14" xr3:uid="{00000000-0010-0000-0600-00000E000000}" name="Count_Exc" dataDxfId="19">
      <calculatedColumnFormula>1/COUNTIF(OB_Act[Dummy_Exc],OB_Act[[#This Row],[Dummy_Exc]])</calculatedColumnFormula>
    </tableColumn>
    <tableColumn id="16" xr3:uid="{00000000-0010-0000-0600-000010000000}" name="Dummy_DT" dataDxfId="18">
      <calculatedColumnFormula>OB_Act[[#This Row],[Day]]&amp;OB_Act[[#This Row],[Dump Truck]]&amp;OB_Act[[#This Row],[Pit]]&amp;OB_Act[[#This Row],[Shift]]</calculatedColumnFormula>
    </tableColumn>
    <tableColumn id="18" xr3:uid="{00000000-0010-0000-0600-000012000000}" name="Count_DT" dataDxfId="17">
      <calculatedColumnFormula>1/COUNTIF(OB_Act[Dummy_DT],OB_Act[[#This Row],[Dummy_DT]])</calculatedColumnFormula>
    </tableColumn>
    <tableColumn id="15" xr3:uid="{00000000-0010-0000-0600-00000F000000}" name="Dummy_Dist." dataDxfId="16">
      <calculatedColumnFormula>OB_Act[[#This Row],[Distance (Meter)]]*OB_Act[[#This Row],[Volume (BCM)]]</calculatedColumnFormula>
    </tableColumn>
    <tableColumn id="19" xr3:uid="{00000000-0010-0000-0600-000013000000}" name="Dummy_DT/Exc" dataDxfId="15">
      <calculatedColumnFormula>OB_Act[[#This Row],[Day]]&amp;OB_Act[[#This Row],[Dump Truck]]&amp;OB_Act[[#This Row],[Contractor]]&amp;OB_Act[[#This Row],[Excavator]]&amp;OB_Act[[#This Row],[Shift]]</calculatedColumnFormula>
    </tableColumn>
    <tableColumn id="20" xr3:uid="{00000000-0010-0000-0600-000014000000}" name="Count_DT/Exc" dataDxfId="14">
      <calculatedColumnFormula>1/COUNTIF(OB_Act[Dummy_DT/Exc],OB_Act[[#This Row],[Dummy_DT/Exc]])</calculatedColumnFormula>
    </tableColumn>
    <tableColumn id="21" xr3:uid="{00000000-0010-0000-0600-000015000000}" name="Weekly" dataDxfId="13">
      <calculatedColumnFormula>VLOOKUP(OB_Act[[#This Row],[Day]],$AO$2:$AR$32,4,0)</calculatedColumnFormula>
    </tableColumn>
    <tableColumn id="22" xr3:uid="{00000000-0010-0000-0600-000016000000}" name="Dump" dataDxfId="12">
      <calculatedColumnFormula>VLOOKUP(OB_Act[[#This Row],[Dump Area]],$AE$2:$AF$51,2,0)</calculatedColumnFormula>
    </tableColumn>
    <tableColumn id="23" xr3:uid="{00000000-0010-0000-0600-000017000000}" name="Dummy_Exc2" dataDxfId="11">
      <calculatedColumnFormula>OB_Act[[#This Row],[Excavator]]&amp;OB_Act[[#This Row],[Contractor]]</calculatedColumnFormula>
    </tableColumn>
    <tableColumn id="24" xr3:uid="{00000000-0010-0000-0600-000018000000}" name="Type_DT" dataDxfId="10">
      <calculatedColumnFormula>IF(OB_Act[[#This Row],[Material]]="MUD",VLOOKUP(OB_Act[[#This Row],[Dump Truck]],Type_mud[[Nama DT]:[Type]],2,0),VLOOKUP(OB_Act[[#This Row],[Dump Truck]],Type_DT_OB[[Nama DT]:[Type]],4,0))</calculatedColumnFormula>
    </tableColumn>
    <tableColumn id="25" xr3:uid="{00000000-0010-0000-0600-000019000000}" name="Source" dataDxfId="9">
      <calculatedColumnFormula>"JBG-OP1-CENTRAL-"&amp;VLOOKUP(OB_Act[[#This Row],[Pit]],$AK$2:$AL$9,2,0)&amp;"-WASTE-"&amp;OB_Act[[#This Row],[Material]]</calculatedColumnFormula>
    </tableColumn>
    <tableColumn id="26" xr3:uid="{00000000-0010-0000-0600-00001A000000}" name="Destination" dataDxfId="8">
      <calculatedColumnFormula>"JBG-DUMP1-"&amp;VLOOKUP(OB_Act[[#This Row],[Dump]],$AF$2:$AG$55,2,0)&amp;"-"&amp;OB_Act[[#This Row],[Material]]</calculatedColumnFormula>
    </tableColumn>
    <tableColumn id="27" xr3:uid="{00000000-0010-0000-0600-00001B000000}" name="Product" dataDxfId="7">
      <calculatedColumnFormula>"JBG-"&amp;OB_Act[[#This Row],[Material]]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ype_DT_OB" displayName="Type_DT_OB" ref="BD1:BI179" totalsRowShown="0">
  <autoFilter ref="BD1:BI179" xr:uid="{00000000-0009-0000-0100-000009000000}"/>
  <tableColumns count="6">
    <tableColumn id="1" xr3:uid="{00000000-0010-0000-0700-000001000000}" name="Number">
      <calculatedColumnFormula>RIGHT(Type_DT_OB[[#This Row],[Nama DT]],3)</calculatedColumnFormula>
    </tableColumn>
    <tableColumn id="2" xr3:uid="{00000000-0010-0000-0700-000002000000}" name="Nama DT"/>
    <tableColumn id="3" xr3:uid="{00000000-0010-0000-0700-000003000000}" name="OB"/>
    <tableColumn id="5" xr3:uid="{00000000-0010-0000-0700-000005000000}" name="Mud"/>
    <tableColumn id="4" xr3:uid="{00000000-0010-0000-0700-000004000000}" name="Type"/>
    <tableColumn id="6" xr3:uid="{00000000-0010-0000-0700-000006000000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ype_mud" displayName="Type_mud" ref="BK1:BM179" totalsRowShown="0">
  <autoFilter ref="BK1:BM179" xr:uid="{00000000-0009-0000-0100-00000A000000}"/>
  <tableColumns count="3">
    <tableColumn id="1" xr3:uid="{00000000-0010-0000-0800-000001000000}" name="Number">
      <calculatedColumnFormula>RIGHT(Type_mud[[#This Row],[Nama DT]],3)</calculatedColumnFormula>
    </tableColumn>
    <tableColumn id="2" xr3:uid="{00000000-0010-0000-0800-000002000000}" name="Nama DT"/>
    <tableColumn id="4" xr3:uid="{00000000-0010-0000-0800-000004000000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Relationship Id="rId4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56"/>
  <sheetViews>
    <sheetView showGridLines="0" tabSelected="1" zoomScale="70" zoomScaleNormal="70" workbookViewId="0">
      <selection activeCell="V24" sqref="V24"/>
    </sheetView>
  </sheetViews>
  <sheetFormatPr defaultColWidth="8.88671875" defaultRowHeight="14.4"/>
  <cols>
    <col min="2" max="2" width="0.5546875" customWidth="1"/>
    <col min="3" max="3" width="5.77734375" customWidth="1"/>
    <col min="6" max="6" width="12.77734375" customWidth="1"/>
    <col min="7" max="7" width="1.33203125" customWidth="1"/>
    <col min="8" max="8" width="12.77734375" customWidth="1"/>
    <col min="9" max="9" width="1.33203125" customWidth="1"/>
    <col min="10" max="10" width="12.77734375" customWidth="1"/>
    <col min="11" max="11" width="1.33203125" customWidth="1"/>
    <col min="12" max="12" width="9.33203125" customWidth="1"/>
    <col min="13" max="13" width="1.33203125" customWidth="1"/>
    <col min="14" max="14" width="12.77734375" customWidth="1"/>
    <col min="15" max="15" width="1.33203125" customWidth="1"/>
    <col min="16" max="18" width="12.77734375" customWidth="1"/>
    <col min="19" max="19" width="0.5546875" customWidth="1"/>
    <col min="49" max="49" width="9.5546875" bestFit="1" customWidth="1"/>
  </cols>
  <sheetData>
    <row r="1" spans="2:50" ht="15" thickBot="1"/>
    <row r="2" spans="2:50" ht="3" customHeight="1">
      <c r="B2" s="871"/>
      <c r="C2" s="872"/>
      <c r="D2" s="872"/>
      <c r="E2" s="872"/>
      <c r="F2" s="872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80"/>
    </row>
    <row r="3" spans="2:50">
      <c r="B3" s="873"/>
      <c r="S3" s="881"/>
      <c r="AR3" s="899"/>
      <c r="AS3" s="899"/>
      <c r="AT3" s="899"/>
      <c r="AU3" s="899"/>
      <c r="AV3" s="899"/>
      <c r="AW3" s="899"/>
      <c r="AX3" s="899"/>
    </row>
    <row r="4" spans="2:50">
      <c r="B4" s="873"/>
      <c r="S4" s="881"/>
      <c r="AR4" s="899"/>
      <c r="AS4" s="899"/>
      <c r="AT4" s="899"/>
      <c r="AU4" s="899"/>
      <c r="AV4" s="900" t="e">
        <f>Actual!AJ355</f>
        <v>#DIV/0!</v>
      </c>
      <c r="AW4" s="900">
        <v>2000</v>
      </c>
      <c r="AX4" s="899"/>
    </row>
    <row r="5" spans="2:50">
      <c r="B5" s="873"/>
      <c r="S5" s="881"/>
      <c r="AR5" s="899"/>
      <c r="AS5" s="899"/>
      <c r="AT5" s="899"/>
      <c r="AU5" s="899"/>
      <c r="AV5" s="901">
        <f>Outlook!AJ6</f>
        <v>275870</v>
      </c>
      <c r="AW5" s="902">
        <f>AV5-Summary!E4</f>
        <v>275870</v>
      </c>
      <c r="AX5" s="899"/>
    </row>
    <row r="6" spans="2:50">
      <c r="B6" s="873"/>
      <c r="S6" s="881"/>
      <c r="AR6" s="899" t="s">
        <v>700</v>
      </c>
      <c r="AS6" s="899" t="s">
        <v>32</v>
      </c>
      <c r="AT6" s="899"/>
      <c r="AU6" s="899"/>
      <c r="AV6" s="899"/>
      <c r="AW6" s="899"/>
      <c r="AX6" s="899"/>
    </row>
    <row r="7" spans="2:50">
      <c r="B7" s="873"/>
      <c r="D7" s="928" t="s">
        <v>0</v>
      </c>
      <c r="E7" s="929"/>
      <c r="F7" s="891" t="str">
        <f>TEXT(H7,"dddd")</f>
        <v>Monday</v>
      </c>
      <c r="G7" s="874" t="s">
        <v>1</v>
      </c>
      <c r="H7" s="890" t="str">
        <f>Summary!D3</f>
        <v>07 Sept-26</v>
      </c>
      <c r="S7" s="881"/>
      <c r="AR7" s="899" t="s">
        <v>22</v>
      </c>
      <c r="AS7" s="909">
        <f>Summary!Q4/Summary!W4</f>
        <v>0</v>
      </c>
      <c r="AT7" s="903">
        <f>1-AS7</f>
        <v>1</v>
      </c>
      <c r="AU7" s="899"/>
      <c r="AV7" s="903">
        <f>(Dashboard!AV5-AW5)/Dashboard!AV5</f>
        <v>0</v>
      </c>
      <c r="AW7" s="904">
        <v>0</v>
      </c>
      <c r="AX7" s="899" t="s">
        <v>701</v>
      </c>
    </row>
    <row r="8" spans="2:50">
      <c r="B8" s="873"/>
      <c r="S8" s="881"/>
      <c r="AR8" s="899" t="s">
        <v>26</v>
      </c>
      <c r="AS8" s="909">
        <f>Summary!Q5/Summary!W5</f>
        <v>0</v>
      </c>
      <c r="AT8" s="903">
        <f>1-AS8</f>
        <v>1</v>
      </c>
      <c r="AU8" s="899"/>
      <c r="AV8" s="903" t="e">
        <f>AX16+AX14</f>
        <v>#VALUE!</v>
      </c>
      <c r="AW8" s="904">
        <v>0</v>
      </c>
      <c r="AX8" s="899" t="s">
        <v>702</v>
      </c>
    </row>
    <row r="9" spans="2:50">
      <c r="B9" s="873"/>
      <c r="F9" s="930" t="s">
        <v>2</v>
      </c>
      <c r="G9" s="930"/>
      <c r="H9" s="930"/>
      <c r="I9" s="930"/>
      <c r="J9" s="930"/>
      <c r="K9" s="930"/>
      <c r="L9" s="931"/>
      <c r="M9" s="895"/>
      <c r="N9" s="930" t="str">
        <f>MID(Actual!C2,13,20)</f>
        <v>Sep'26</v>
      </c>
      <c r="O9" s="930"/>
      <c r="P9" s="930"/>
      <c r="S9" s="881"/>
      <c r="AR9" s="899" t="s">
        <v>703</v>
      </c>
      <c r="AS9" s="909">
        <f>Summary!Q8/Summary!W8</f>
        <v>0</v>
      </c>
      <c r="AT9" s="903">
        <f>1-AS9</f>
        <v>1</v>
      </c>
      <c r="AU9" s="899"/>
      <c r="AV9" s="903">
        <v>0</v>
      </c>
      <c r="AW9" s="904">
        <v>0</v>
      </c>
      <c r="AX9" s="899" t="s">
        <v>704</v>
      </c>
    </row>
    <row r="10" spans="2:50">
      <c r="B10" s="873"/>
      <c r="F10" s="892" t="s">
        <v>4</v>
      </c>
      <c r="G10" s="893"/>
      <c r="H10" s="892" t="s">
        <v>5</v>
      </c>
      <c r="I10" s="893"/>
      <c r="J10" s="892" t="s">
        <v>6</v>
      </c>
      <c r="K10" s="893"/>
      <c r="L10" s="892" t="s">
        <v>7</v>
      </c>
      <c r="M10" s="893"/>
      <c r="N10" s="892" t="s">
        <v>8</v>
      </c>
      <c r="O10" s="893"/>
      <c r="P10" s="894" t="s">
        <v>9</v>
      </c>
      <c r="S10" s="881"/>
      <c r="AR10" s="899" t="s">
        <v>705</v>
      </c>
      <c r="AS10" s="909">
        <f>Summary!Q9/Summary!W9</f>
        <v>0</v>
      </c>
      <c r="AT10" s="903">
        <f>1-AS10</f>
        <v>1</v>
      </c>
      <c r="AU10" s="899"/>
      <c r="AV10" s="903">
        <v>0</v>
      </c>
      <c r="AW10" s="904">
        <v>0</v>
      </c>
      <c r="AX10" s="899" t="s">
        <v>706</v>
      </c>
    </row>
    <row r="11" spans="2:50" ht="4.95" customHeight="1">
      <c r="B11" s="873"/>
      <c r="S11" s="881"/>
      <c r="AR11" s="899"/>
      <c r="AS11" s="899"/>
      <c r="AT11" s="899"/>
      <c r="AU11" s="899"/>
      <c r="AV11" s="899"/>
      <c r="AW11" s="899"/>
      <c r="AX11" s="899"/>
    </row>
    <row r="12" spans="2:50">
      <c r="B12" s="873"/>
      <c r="D12" s="927" t="s">
        <v>10</v>
      </c>
      <c r="E12" s="927"/>
      <c r="F12" s="875">
        <f>Summary!$D$4</f>
        <v>0</v>
      </c>
      <c r="H12" s="875">
        <f>Summary!$E$4</f>
        <v>0</v>
      </c>
      <c r="J12" s="875">
        <f>Summary!F4</f>
        <v>0</v>
      </c>
      <c r="L12" s="879">
        <f>IF(J12&lt;=0,0,(H12-J12)/J12)</f>
        <v>0</v>
      </c>
      <c r="N12" s="875">
        <f>Summary!J4</f>
        <v>0</v>
      </c>
      <c r="P12" s="875">
        <f>Summary!K4</f>
        <v>424996</v>
      </c>
      <c r="S12" s="881"/>
      <c r="AR12" s="899"/>
      <c r="AS12" s="899"/>
      <c r="AT12" s="899"/>
      <c r="AU12" s="899"/>
      <c r="AV12" s="899"/>
      <c r="AW12" s="899"/>
      <c r="AX12" s="899"/>
    </row>
    <row r="13" spans="2:50" ht="4.95" customHeight="1">
      <c r="B13" s="873"/>
      <c r="S13" s="881"/>
      <c r="AR13" s="899"/>
      <c r="AS13" s="899"/>
      <c r="AT13" s="899"/>
      <c r="AU13" s="899"/>
      <c r="AV13" s="899"/>
      <c r="AW13" s="899"/>
      <c r="AX13" s="899"/>
    </row>
    <row r="14" spans="2:50">
      <c r="B14" s="873"/>
      <c r="D14" s="927" t="s">
        <v>11</v>
      </c>
      <c r="E14" s="927"/>
      <c r="F14" s="875">
        <f>Summary!$D$5</f>
        <v>0</v>
      </c>
      <c r="H14" s="875">
        <f>Summary!$E$5</f>
        <v>0</v>
      </c>
      <c r="J14" s="875">
        <f>Summary!$F$4</f>
        <v>0</v>
      </c>
      <c r="L14" s="879">
        <f>IF(J14&lt;=0,0,(H14-J14)/J14)</f>
        <v>0</v>
      </c>
      <c r="N14" s="875">
        <f>Summary!$J$5</f>
        <v>0</v>
      </c>
      <c r="P14" s="875">
        <f>Summary!$K$5</f>
        <v>65645</v>
      </c>
      <c r="S14" s="881"/>
      <c r="AR14" s="899" t="s">
        <v>2</v>
      </c>
      <c r="AS14" s="899"/>
      <c r="AT14" s="899"/>
      <c r="AU14" s="899"/>
      <c r="AV14" s="899"/>
      <c r="AW14" s="899"/>
      <c r="AX14" s="905" t="str">
        <f>IFERROR(((AV4-AW4)/AV4),"")</f>
        <v/>
      </c>
    </row>
    <row r="15" spans="2:50" ht="4.95" customHeight="1">
      <c r="B15" s="873"/>
      <c r="S15" s="881"/>
      <c r="AR15" s="899"/>
      <c r="AS15" s="899"/>
      <c r="AT15" s="899"/>
      <c r="AU15" s="899"/>
      <c r="AV15" s="899"/>
      <c r="AW15" s="899"/>
    </row>
    <row r="16" spans="2:50">
      <c r="B16" s="873"/>
      <c r="D16" s="927" t="s">
        <v>12</v>
      </c>
      <c r="E16" s="927"/>
      <c r="F16" s="875">
        <f>Summary!$D$6</f>
        <v>0</v>
      </c>
      <c r="H16" s="875">
        <f>Summary!$E$6</f>
        <v>0</v>
      </c>
      <c r="J16" s="875">
        <f>Summary!$F$6</f>
        <v>0</v>
      </c>
      <c r="L16" s="879">
        <f>IF(J16&lt;=0,0,(H16-J16)/J16)</f>
        <v>0</v>
      </c>
      <c r="N16" s="875">
        <f>Summary!$J$6</f>
        <v>0</v>
      </c>
      <c r="P16" s="875">
        <f>Summary!$K$6</f>
        <v>6.4741564475588396</v>
      </c>
      <c r="S16" s="881"/>
      <c r="AR16" s="899" t="s">
        <v>22</v>
      </c>
      <c r="AS16" s="903">
        <v>0</v>
      </c>
      <c r="AT16" s="907">
        <v>1</v>
      </c>
      <c r="AU16" s="903">
        <f>1-AS16</f>
        <v>1</v>
      </c>
      <c r="AV16" s="899"/>
      <c r="AW16" s="899"/>
      <c r="AX16" s="906">
        <v>1</v>
      </c>
    </row>
    <row r="17" spans="2:50" ht="4.95" customHeight="1">
      <c r="B17" s="873"/>
      <c r="S17" s="881"/>
      <c r="AR17" s="899"/>
      <c r="AS17" s="899"/>
      <c r="AT17" s="907"/>
      <c r="AU17" s="899"/>
      <c r="AV17" s="899"/>
      <c r="AW17" s="899"/>
      <c r="AX17" s="902" t="str">
        <f>AX14</f>
        <v/>
      </c>
    </row>
    <row r="18" spans="2:50">
      <c r="B18" s="873"/>
      <c r="D18" s="927" t="s">
        <v>13</v>
      </c>
      <c r="E18" s="927"/>
      <c r="F18" s="875">
        <f>Summary!$D$8</f>
        <v>0</v>
      </c>
      <c r="H18" s="875">
        <f>Summary!$E$8</f>
        <v>0</v>
      </c>
      <c r="J18" s="875">
        <f>Summary!$F$8</f>
        <v>0</v>
      </c>
      <c r="L18" s="879">
        <f>IF(J18&lt;=0,0,(H18-J18)/J18)</f>
        <v>0</v>
      </c>
      <c r="N18" s="875">
        <f>Summary!$J$8</f>
        <v>0</v>
      </c>
      <c r="P18" s="875">
        <f>Summary!$K$8</f>
        <v>75000</v>
      </c>
      <c r="S18" s="881"/>
      <c r="AR18" s="899" t="s">
        <v>26</v>
      </c>
      <c r="AS18" s="903">
        <v>0</v>
      </c>
      <c r="AT18" s="907">
        <f>IF(1-AS18&lt;0,0,AU18)</f>
        <v>1</v>
      </c>
      <c r="AU18" s="903">
        <f>1-AS18</f>
        <v>1</v>
      </c>
      <c r="AV18" s="899"/>
      <c r="AW18" s="899"/>
      <c r="AX18" s="902">
        <v>1</v>
      </c>
    </row>
    <row r="19" spans="2:50" ht="4.95" customHeight="1">
      <c r="B19" s="873"/>
      <c r="S19" s="881"/>
      <c r="AR19" s="899"/>
      <c r="AS19" s="899"/>
      <c r="AT19" s="899"/>
      <c r="AU19" s="899"/>
      <c r="AV19" s="899"/>
      <c r="AW19" s="899"/>
      <c r="AX19" s="899"/>
    </row>
    <row r="20" spans="2:50">
      <c r="B20" s="873"/>
      <c r="D20" s="927" t="s">
        <v>14</v>
      </c>
      <c r="E20" s="927"/>
      <c r="F20" s="875">
        <f>Summary!$D$9</f>
        <v>0</v>
      </c>
      <c r="H20" s="875">
        <f>Summary!$E$9</f>
        <v>0</v>
      </c>
      <c r="J20" s="875">
        <f>Summary!$F$9</f>
        <v>0</v>
      </c>
      <c r="L20" s="879">
        <f>IF(J20&lt;=0,0,(H20-J20)/J20)</f>
        <v>0</v>
      </c>
      <c r="N20" s="875">
        <f>Summary!$J$9</f>
        <v>0</v>
      </c>
      <c r="P20" s="875">
        <f>Summary!$K$9</f>
        <v>73000</v>
      </c>
      <c r="S20" s="881"/>
      <c r="AR20" s="899"/>
      <c r="AS20" s="899"/>
      <c r="AT20" s="899"/>
      <c r="AU20" s="899"/>
      <c r="AV20" s="899"/>
      <c r="AW20" s="899"/>
      <c r="AX20" s="899"/>
    </row>
    <row r="21" spans="2:50" ht="4.95" customHeight="1">
      <c r="B21" s="873"/>
      <c r="S21" s="881"/>
      <c r="AR21" s="899"/>
      <c r="AS21" s="899"/>
      <c r="AT21" s="899"/>
      <c r="AU21" s="899"/>
      <c r="AV21" s="899"/>
      <c r="AW21" s="899"/>
      <c r="AX21" s="899"/>
    </row>
    <row r="22" spans="2:50">
      <c r="B22" s="873"/>
      <c r="D22" s="927" t="s">
        <v>15</v>
      </c>
      <c r="E22" s="927"/>
      <c r="F22" s="875">
        <f>Summary!$D$7</f>
        <v>351.37</v>
      </c>
      <c r="H22" s="875">
        <f>Summary!$E$7</f>
        <v>351.37</v>
      </c>
      <c r="J22" s="875">
        <f>Summary!$F$7</f>
        <v>351.37</v>
      </c>
      <c r="L22" s="879">
        <f>IF(J22&lt;=0,0,(H22-J22)/J22)</f>
        <v>0</v>
      </c>
      <c r="N22" s="875">
        <f>Summary!$J$7</f>
        <v>351.37</v>
      </c>
      <c r="P22" s="875">
        <f>Summary!$K$7</f>
        <v>12353</v>
      </c>
      <c r="S22" s="881"/>
      <c r="AR22" s="908" t="s">
        <v>707</v>
      </c>
      <c r="AS22" s="899"/>
      <c r="AT22" s="899"/>
      <c r="AU22" s="899"/>
      <c r="AV22" s="899"/>
      <c r="AW22" s="899"/>
      <c r="AX22" s="899"/>
    </row>
    <row r="23" spans="2:50" ht="4.95" customHeight="1">
      <c r="B23" s="873"/>
      <c r="S23" s="881"/>
      <c r="AR23" s="899"/>
      <c r="AS23" s="899"/>
      <c r="AT23" s="899"/>
      <c r="AU23" s="899"/>
      <c r="AV23" s="899"/>
      <c r="AW23" s="899"/>
      <c r="AX23" s="899"/>
    </row>
    <row r="24" spans="2:50">
      <c r="B24" s="873"/>
      <c r="D24" s="927" t="s">
        <v>16</v>
      </c>
      <c r="E24" s="927"/>
      <c r="F24" s="875">
        <f>Summary!$D$10</f>
        <v>1370.3389999999999</v>
      </c>
      <c r="H24" s="875">
        <f>Summary!$E$10</f>
        <v>1370.3389999999999</v>
      </c>
      <c r="J24" s="875">
        <f>Summary!$F$10</f>
        <v>1370</v>
      </c>
      <c r="L24" s="879">
        <f>IF(J24&lt;=0,0,(H24-J24)/J24)</f>
        <v>2.4744525547441007E-4</v>
      </c>
      <c r="N24" s="875">
        <f>Summary!$J$10</f>
        <v>1370</v>
      </c>
      <c r="P24" s="875">
        <f>Summary!$K$10</f>
        <v>24556</v>
      </c>
      <c r="S24" s="881"/>
      <c r="AR24" s="899" t="s">
        <v>708</v>
      </c>
      <c r="AS24" s="904">
        <f>SUM(Budget!E5:G5)</f>
        <v>0</v>
      </c>
      <c r="AT24" s="904">
        <f>Summary!E5</f>
        <v>0</v>
      </c>
      <c r="AU24" s="903" t="e">
        <f>AT24/AS24</f>
        <v>#DIV/0!</v>
      </c>
      <c r="AV24" s="903" t="e">
        <f>1-AU24</f>
        <v>#DIV/0!</v>
      </c>
      <c r="AW24" s="903"/>
      <c r="AX24" s="900"/>
    </row>
    <row r="25" spans="2:50">
      <c r="B25" s="873"/>
      <c r="S25" s="881"/>
      <c r="AR25" s="899"/>
      <c r="AS25" s="899"/>
      <c r="AT25" s="904"/>
      <c r="AU25" s="903"/>
      <c r="AV25" s="903"/>
      <c r="AW25" s="903"/>
      <c r="AX25" s="900"/>
    </row>
    <row r="26" spans="2:50">
      <c r="B26" s="873"/>
      <c r="F26" s="876" t="s">
        <v>17</v>
      </c>
      <c r="S26" s="881"/>
      <c r="AR26" s="899" t="s">
        <v>709</v>
      </c>
      <c r="AS26" s="904">
        <f>SUM(Budget!E8:G8)</f>
        <v>0</v>
      </c>
      <c r="AT26" s="904">
        <f>Summary!E8</f>
        <v>0</v>
      </c>
      <c r="AU26" s="903" t="e">
        <f>AT26/AS26</f>
        <v>#DIV/0!</v>
      </c>
      <c r="AV26" s="903" t="e">
        <f>1-AU26</f>
        <v>#DIV/0!</v>
      </c>
      <c r="AW26" s="903"/>
      <c r="AX26" s="899"/>
    </row>
    <row r="27" spans="2:50">
      <c r="B27" s="873"/>
      <c r="S27" s="881"/>
      <c r="AR27" s="899"/>
      <c r="AS27" s="899"/>
      <c r="AT27" s="899"/>
      <c r="AU27" s="899"/>
      <c r="AV27" s="899"/>
      <c r="AW27" s="899"/>
      <c r="AX27" s="899"/>
    </row>
    <row r="28" spans="2:50">
      <c r="B28" s="873"/>
      <c r="D28" s="927" t="s">
        <v>18</v>
      </c>
      <c r="E28" s="927"/>
      <c r="F28" s="875">
        <f>Summary!$D$12</f>
        <v>0</v>
      </c>
      <c r="H28" s="875">
        <f>Summary!$E$12</f>
        <v>0</v>
      </c>
      <c r="J28" s="875">
        <f>Summary!$F$12</f>
        <v>41.725822348408101</v>
      </c>
      <c r="L28" s="879">
        <f>IF(J28&lt;=0,0,(H28-J28)/J28)</f>
        <v>-1</v>
      </c>
      <c r="N28" s="875">
        <f>Summary!$J$12</f>
        <v>178.824952921749</v>
      </c>
      <c r="P28" s="875">
        <f>Summary!$K$12</f>
        <v>178.824952921749</v>
      </c>
      <c r="S28" s="881"/>
      <c r="AR28" s="899"/>
      <c r="AS28" s="899"/>
      <c r="AT28" s="899"/>
      <c r="AU28" s="899"/>
      <c r="AV28" s="899"/>
      <c r="AW28" s="899"/>
      <c r="AX28" s="899"/>
    </row>
    <row r="29" spans="2:50" ht="4.95" customHeight="1">
      <c r="B29" s="873"/>
      <c r="S29" s="881"/>
      <c r="AR29" s="899"/>
      <c r="AS29" s="899"/>
      <c r="AT29" s="899"/>
      <c r="AU29" s="899"/>
      <c r="AV29" s="899"/>
      <c r="AW29" s="899"/>
      <c r="AX29" s="899"/>
    </row>
    <row r="30" spans="2:50">
      <c r="B30" s="873"/>
      <c r="D30" s="927"/>
      <c r="E30" s="927"/>
      <c r="F30" s="875">
        <f>Summary!$D$13</f>
        <v>0</v>
      </c>
      <c r="H30" s="875">
        <f>Summary!$E$13</f>
        <v>0</v>
      </c>
      <c r="J30" s="875">
        <f>Summary!$F$13</f>
        <v>9.6576666666666657</v>
      </c>
      <c r="L30" s="879">
        <f>IF(J30&lt;=0,0,(H30-J30)/J30)</f>
        <v>-1</v>
      </c>
      <c r="N30" s="875">
        <f>Summary!$J$13</f>
        <v>41.39</v>
      </c>
      <c r="P30" s="875">
        <f>Summary!$K$13</f>
        <v>41.39</v>
      </c>
      <c r="S30" s="881"/>
      <c r="AR30" s="899"/>
      <c r="AS30" s="899"/>
      <c r="AT30" s="899"/>
      <c r="AU30" s="899"/>
      <c r="AV30" s="899"/>
      <c r="AW30" s="899"/>
      <c r="AX30" s="899"/>
    </row>
    <row r="31" spans="2:50" ht="4.95" customHeight="1">
      <c r="B31" s="873"/>
      <c r="S31" s="881"/>
      <c r="AV31" s="899"/>
      <c r="AW31" s="899"/>
      <c r="AX31" s="899"/>
    </row>
    <row r="32" spans="2:50">
      <c r="B32" s="873"/>
      <c r="D32" s="889" t="s">
        <v>19</v>
      </c>
      <c r="F32" s="875">
        <f>Summary!$D$14</f>
        <v>0</v>
      </c>
      <c r="H32" s="875">
        <f>Summary!$E$14</f>
        <v>0</v>
      </c>
      <c r="J32" s="875">
        <f>Summary!$F$14</f>
        <v>12.324666666666666</v>
      </c>
      <c r="L32" s="879">
        <f>IF(J32&lt;=0,0,(H32-J32)/J32)</f>
        <v>-1</v>
      </c>
      <c r="N32" s="875">
        <f>Summary!$J$14</f>
        <v>52.82</v>
      </c>
      <c r="P32" s="875">
        <f>Summary!$K$14</f>
        <v>52.82</v>
      </c>
      <c r="S32" s="881"/>
      <c r="AR32" s="899" t="s">
        <v>710</v>
      </c>
      <c r="AS32" s="899"/>
      <c r="AT32" s="904">
        <v>22170</v>
      </c>
      <c r="AU32" s="904">
        <v>22170</v>
      </c>
      <c r="AV32" s="899"/>
      <c r="AW32" s="899"/>
      <c r="AX32" s="899"/>
    </row>
    <row r="33" spans="2:50">
      <c r="B33" s="873"/>
      <c r="S33" s="881"/>
      <c r="AR33" s="899"/>
      <c r="AS33" s="899"/>
      <c r="AT33" s="899"/>
      <c r="AU33" s="903">
        <f>(AT32-AU32)/AT32</f>
        <v>0</v>
      </c>
      <c r="AV33" s="899"/>
      <c r="AW33" s="903"/>
      <c r="AX33" s="899"/>
    </row>
    <row r="34" spans="2:50">
      <c r="B34" s="873"/>
      <c r="F34" s="876" t="s">
        <v>20</v>
      </c>
      <c r="S34" s="881"/>
      <c r="AR34" s="899"/>
      <c r="AS34" s="899"/>
      <c r="AT34" s="899"/>
      <c r="AU34" s="899"/>
      <c r="AV34" s="899"/>
      <c r="AW34" s="899"/>
      <c r="AX34" s="899"/>
    </row>
    <row r="35" spans="2:50">
      <c r="B35" s="873"/>
      <c r="S35" s="881"/>
      <c r="AR35" s="899"/>
      <c r="AS35" s="899"/>
      <c r="AT35" s="899"/>
      <c r="AU35" s="899"/>
      <c r="AV35" s="899"/>
      <c r="AW35" s="899"/>
      <c r="AX35" s="899"/>
    </row>
    <row r="36" spans="2:50">
      <c r="B36" s="873"/>
      <c r="F36" s="896" t="s">
        <v>21</v>
      </c>
      <c r="G36" s="897"/>
      <c r="H36" s="898" t="s">
        <v>5</v>
      </c>
      <c r="I36" s="935" t="s">
        <v>712</v>
      </c>
      <c r="J36" s="936"/>
      <c r="K36" s="936"/>
      <c r="L36" s="936"/>
      <c r="M36" s="925" t="s">
        <v>713</v>
      </c>
      <c r="N36" s="926"/>
      <c r="O36" s="926"/>
      <c r="P36" s="918" t="s">
        <v>7</v>
      </c>
      <c r="S36" s="881"/>
      <c r="AR36" s="899"/>
      <c r="AS36" s="899"/>
      <c r="AT36" s="899"/>
      <c r="AU36" s="899"/>
      <c r="AV36" s="899"/>
      <c r="AW36" s="899"/>
      <c r="AX36" s="899"/>
    </row>
    <row r="37" spans="2:50">
      <c r="B37" s="873"/>
      <c r="S37" s="881"/>
      <c r="AR37" s="899"/>
      <c r="AS37" s="899"/>
      <c r="AT37" s="899"/>
      <c r="AU37" s="899"/>
      <c r="AV37" s="899"/>
      <c r="AW37" s="899"/>
      <c r="AX37" s="899"/>
    </row>
    <row r="38" spans="2:50">
      <c r="B38" s="873"/>
      <c r="D38" s="889" t="s">
        <v>22</v>
      </c>
      <c r="E38" s="876" t="s">
        <v>23</v>
      </c>
      <c r="F38" s="875">
        <f>Actual!AN36</f>
        <v>0</v>
      </c>
      <c r="H38" s="875">
        <f>Actual!AK36</f>
        <v>0</v>
      </c>
      <c r="J38" s="932"/>
      <c r="K38" s="933"/>
      <c r="L38" s="933"/>
      <c r="M38" s="915"/>
      <c r="N38" s="917"/>
      <c r="P38" s="917"/>
      <c r="S38" s="881"/>
    </row>
    <row r="39" spans="2:50" ht="4.95" customHeight="1">
      <c r="B39" s="873"/>
      <c r="D39" s="889"/>
      <c r="E39" s="876"/>
      <c r="S39" s="881"/>
    </row>
    <row r="40" spans="2:50">
      <c r="B40" s="873"/>
      <c r="D40" s="889" t="s">
        <v>24</v>
      </c>
      <c r="E40" s="876" t="s">
        <v>23</v>
      </c>
      <c r="F40" s="875">
        <f>Actual!$AL$355</f>
        <v>0</v>
      </c>
      <c r="H40" s="875" t="str">
        <f>IFERROR(Actual!$AJ$355," ")</f>
        <v xml:space="preserve"> </v>
      </c>
      <c r="J40" s="932"/>
      <c r="K40" s="933"/>
      <c r="L40" s="934"/>
      <c r="N40" s="917"/>
      <c r="P40" s="917"/>
      <c r="S40" s="881"/>
    </row>
    <row r="41" spans="2:50" ht="4.95" customHeight="1">
      <c r="B41" s="873"/>
      <c r="D41" s="889"/>
      <c r="E41" s="876"/>
      <c r="S41" s="881"/>
    </row>
    <row r="42" spans="2:50">
      <c r="B42" s="873"/>
      <c r="D42" s="889" t="s">
        <v>109</v>
      </c>
      <c r="E42" s="876" t="s">
        <v>743</v>
      </c>
      <c r="F42" s="875">
        <f>Actual!AM42</f>
        <v>634.5</v>
      </c>
      <c r="H42" s="875">
        <f>Actual!AK42</f>
        <v>3780</v>
      </c>
      <c r="J42" s="932"/>
      <c r="K42" s="933"/>
      <c r="L42" s="934"/>
      <c r="S42" s="881"/>
    </row>
    <row r="43" spans="2:50" ht="4.95" customHeight="1">
      <c r="B43" s="873"/>
      <c r="D43" s="889"/>
      <c r="E43" s="876"/>
      <c r="S43" s="881"/>
    </row>
    <row r="44" spans="2:50">
      <c r="B44" s="873"/>
      <c r="D44" s="889" t="s">
        <v>22</v>
      </c>
      <c r="E44" s="876" t="s">
        <v>587</v>
      </c>
      <c r="F44" s="875">
        <f>Actual!AM47</f>
        <v>0</v>
      </c>
      <c r="H44" s="875">
        <f>Actual!AK47</f>
        <v>1030.5</v>
      </c>
      <c r="J44" s="932"/>
      <c r="K44" s="933"/>
      <c r="L44" s="934"/>
      <c r="S44" s="881"/>
    </row>
    <row r="45" spans="2:50" ht="4.95" customHeight="1">
      <c r="B45" s="873"/>
      <c r="D45" s="889"/>
      <c r="E45" s="876"/>
      <c r="S45" s="881"/>
    </row>
    <row r="46" spans="2:50">
      <c r="B46" s="873"/>
      <c r="D46" s="876" t="s">
        <v>109</v>
      </c>
      <c r="E46" s="876" t="s">
        <v>729</v>
      </c>
      <c r="F46" s="875">
        <f>Actual!AM31</f>
        <v>1174.5</v>
      </c>
      <c r="H46" s="875">
        <f>Actual!AK31</f>
        <v>4711.5</v>
      </c>
      <c r="J46" s="932"/>
      <c r="K46" s="933"/>
      <c r="L46" s="934"/>
      <c r="S46" s="881"/>
    </row>
    <row r="47" spans="2:50" ht="4.95" customHeight="1">
      <c r="B47" s="873"/>
      <c r="D47" s="889"/>
      <c r="E47" s="876"/>
      <c r="S47" s="881"/>
    </row>
    <row r="48" spans="2:50">
      <c r="B48" s="873"/>
      <c r="D48" s="889"/>
      <c r="E48" s="876"/>
      <c r="F48" s="875">
        <v>0</v>
      </c>
      <c r="H48" s="875">
        <f>Summary!E37</f>
        <v>0</v>
      </c>
      <c r="J48" s="932"/>
      <c r="K48" s="933"/>
      <c r="L48" s="934"/>
      <c r="S48" s="881"/>
    </row>
    <row r="49" spans="2:19">
      <c r="B49" s="873"/>
      <c r="D49" s="889"/>
      <c r="E49" s="876"/>
      <c r="F49" s="910"/>
      <c r="H49" s="910"/>
      <c r="S49" s="881"/>
    </row>
    <row r="50" spans="2:19">
      <c r="B50" s="873"/>
      <c r="D50" s="889"/>
      <c r="E50" s="876"/>
      <c r="F50" s="912" t="s">
        <v>748</v>
      </c>
      <c r="G50" s="913"/>
      <c r="H50" s="913"/>
      <c r="I50" s="913"/>
      <c r="J50" s="913"/>
      <c r="K50" s="913"/>
      <c r="L50" s="913"/>
      <c r="M50" s="911"/>
      <c r="N50" s="911"/>
      <c r="O50" s="911"/>
      <c r="S50" s="881"/>
    </row>
    <row r="51" spans="2:19">
      <c r="B51" s="873"/>
      <c r="D51" s="889"/>
      <c r="E51" s="876"/>
      <c r="F51" s="912" t="s">
        <v>711</v>
      </c>
      <c r="G51" s="911"/>
      <c r="H51" s="911"/>
      <c r="I51" s="911"/>
      <c r="J51" s="911"/>
      <c r="K51" s="911"/>
      <c r="L51" s="911"/>
      <c r="M51" s="911"/>
      <c r="N51" s="911"/>
      <c r="O51" s="911"/>
      <c r="S51" s="881"/>
    </row>
    <row r="52" spans="2:19">
      <c r="B52" s="873"/>
      <c r="D52" s="889"/>
      <c r="E52" s="876"/>
      <c r="F52" s="916"/>
      <c r="G52" s="914"/>
      <c r="H52" s="914"/>
      <c r="I52" s="914"/>
      <c r="J52" s="914"/>
      <c r="K52" s="914"/>
      <c r="L52" s="914"/>
      <c r="M52" s="911"/>
      <c r="N52" s="911"/>
      <c r="O52" s="911"/>
      <c r="S52" s="881"/>
    </row>
    <row r="53" spans="2:19">
      <c r="B53" s="873"/>
      <c r="D53" s="889"/>
      <c r="E53" s="876"/>
      <c r="F53" s="911"/>
      <c r="G53" s="914"/>
      <c r="H53" s="914"/>
      <c r="I53" s="914"/>
      <c r="J53" s="914"/>
      <c r="K53" s="914"/>
      <c r="L53" s="914"/>
      <c r="M53" s="911"/>
      <c r="N53" s="911"/>
      <c r="O53" s="911"/>
      <c r="S53" s="881"/>
    </row>
    <row r="54" spans="2:19">
      <c r="B54" s="873"/>
      <c r="D54" s="889"/>
      <c r="E54" s="876"/>
      <c r="F54" s="911"/>
      <c r="G54" s="914"/>
      <c r="H54" s="914"/>
      <c r="I54" s="914"/>
      <c r="J54" s="914"/>
      <c r="K54" s="914"/>
      <c r="L54" s="914"/>
      <c r="M54" s="911"/>
      <c r="N54" s="911"/>
      <c r="O54" s="911"/>
      <c r="S54" s="881"/>
    </row>
    <row r="55" spans="2:19" ht="4.95" customHeight="1" thickBot="1">
      <c r="B55" s="877"/>
      <c r="C55" s="878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O55" s="878"/>
      <c r="P55" s="878"/>
      <c r="Q55" s="878"/>
      <c r="R55" s="878"/>
      <c r="S55" s="882"/>
    </row>
    <row r="56" spans="2:19" ht="3" customHeight="1"/>
  </sheetData>
  <mergeCells count="20">
    <mergeCell ref="J46:L46"/>
    <mergeCell ref="J48:L48"/>
    <mergeCell ref="I36:L36"/>
    <mergeCell ref="J38:L38"/>
    <mergeCell ref="J40:L40"/>
    <mergeCell ref="J42:L42"/>
    <mergeCell ref="J44:L44"/>
    <mergeCell ref="D7:E7"/>
    <mergeCell ref="F9:L9"/>
    <mergeCell ref="N9:P9"/>
    <mergeCell ref="D12:E12"/>
    <mergeCell ref="D14:E14"/>
    <mergeCell ref="M36:O36"/>
    <mergeCell ref="D28:E28"/>
    <mergeCell ref="D30:E30"/>
    <mergeCell ref="D16:E16"/>
    <mergeCell ref="D18:E18"/>
    <mergeCell ref="D20:E20"/>
    <mergeCell ref="D22:E22"/>
    <mergeCell ref="D24:E24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39"/>
    <pageSetUpPr fitToPage="1"/>
  </sheetPr>
  <dimension ref="A1:AN100"/>
  <sheetViews>
    <sheetView zoomScale="80" zoomScaleNormal="80" workbookViewId="0">
      <selection activeCell="D4" sqref="D4"/>
    </sheetView>
  </sheetViews>
  <sheetFormatPr defaultColWidth="9.33203125" defaultRowHeight="14.4"/>
  <cols>
    <col min="1" max="1" width="8.5546875" style="184" customWidth="1"/>
    <col min="2" max="2" width="15.33203125" style="184" customWidth="1"/>
    <col min="3" max="3" width="9.33203125" style="184" customWidth="1"/>
    <col min="4" max="4" width="10.33203125" style="184" customWidth="1"/>
    <col min="5" max="5" width="10.5546875" style="184" customWidth="1"/>
    <col min="6" max="6" width="10.44140625" style="184" customWidth="1"/>
    <col min="7" max="7" width="8.33203125" style="184" customWidth="1"/>
    <col min="8" max="8" width="10.5546875" style="184" customWidth="1"/>
    <col min="9" max="9" width="11.5546875" style="184" customWidth="1"/>
    <col min="10" max="11" width="10.33203125" style="184" customWidth="1"/>
    <col min="12" max="12" width="7.33203125" style="184" customWidth="1"/>
    <col min="13" max="13" width="11.5546875" style="184" customWidth="1"/>
    <col min="14" max="15" width="10.33203125" style="184" customWidth="1"/>
    <col min="16" max="16" width="7.33203125" style="184" customWidth="1"/>
    <col min="17" max="17" width="11" style="184" customWidth="1"/>
    <col min="18" max="18" width="11.6640625" style="184" customWidth="1"/>
    <col min="19" max="19" width="6.6640625" style="184" customWidth="1"/>
    <col min="20" max="20" width="11.6640625" style="184" customWidth="1"/>
    <col min="21" max="21" width="7.33203125" style="184" customWidth="1"/>
    <col min="22" max="22" width="11.6640625" style="184" customWidth="1"/>
    <col min="23" max="23" width="12.33203125" style="184" customWidth="1"/>
    <col min="24" max="24" width="7.33203125" style="184" customWidth="1"/>
    <col min="25" max="25" width="9.33203125" style="184" customWidth="1"/>
    <col min="26" max="26" width="9.44140625" style="184" customWidth="1"/>
    <col min="27" max="27" width="9.33203125" style="184"/>
    <col min="28" max="28" width="10.33203125" style="184" customWidth="1"/>
    <col min="29" max="16384" width="9.33203125" style="184"/>
  </cols>
  <sheetData>
    <row r="1" spans="1:28">
      <c r="A1" s="740"/>
      <c r="C1" s="741"/>
      <c r="D1" s="742"/>
      <c r="E1" s="743"/>
      <c r="F1" s="744"/>
      <c r="G1" s="745"/>
      <c r="H1" s="746"/>
      <c r="I1" s="399"/>
      <c r="J1" s="810"/>
      <c r="K1" s="399"/>
      <c r="L1" s="399"/>
      <c r="M1" s="399"/>
      <c r="N1" s="399"/>
      <c r="O1" s="399"/>
      <c r="P1" s="399"/>
      <c r="Q1" s="835"/>
      <c r="R1" s="230"/>
    </row>
    <row r="2" spans="1:28">
      <c r="A2" s="747"/>
      <c r="B2" s="940"/>
      <c r="C2" s="941"/>
      <c r="D2" s="748" t="s">
        <v>27</v>
      </c>
      <c r="E2" s="937" t="str">
        <f>MID(Actual!C2,13,6)</f>
        <v>Sep'26</v>
      </c>
      <c r="F2" s="938"/>
      <c r="G2" s="938"/>
      <c r="H2" s="938"/>
      <c r="I2" s="939"/>
      <c r="J2" s="937" t="s">
        <v>28</v>
      </c>
      <c r="K2" s="938"/>
      <c r="L2" s="939"/>
      <c r="M2" s="937" t="s">
        <v>739</v>
      </c>
      <c r="N2" s="938"/>
      <c r="O2" s="938"/>
      <c r="P2" s="939"/>
      <c r="Q2" s="937" t="s">
        <v>29</v>
      </c>
      <c r="R2" s="938"/>
      <c r="S2" s="938"/>
      <c r="T2" s="938"/>
      <c r="U2" s="939"/>
      <c r="V2" s="937" t="s">
        <v>30</v>
      </c>
      <c r="W2" s="938"/>
      <c r="X2" s="939"/>
      <c r="Z2" s="854"/>
    </row>
    <row r="3" spans="1:28">
      <c r="A3" s="747"/>
      <c r="B3" s="942"/>
      <c r="C3" s="943"/>
      <c r="D3" s="924" t="s">
        <v>749</v>
      </c>
      <c r="E3" s="749" t="s">
        <v>5</v>
      </c>
      <c r="F3" s="750" t="s">
        <v>6</v>
      </c>
      <c r="G3" s="751" t="s">
        <v>31</v>
      </c>
      <c r="H3" s="752" t="s">
        <v>9</v>
      </c>
      <c r="I3" s="811" t="str">
        <f>G3</f>
        <v>%Diff</v>
      </c>
      <c r="J3" s="812" t="s">
        <v>8</v>
      </c>
      <c r="K3" s="752" t="s">
        <v>9</v>
      </c>
      <c r="L3" s="811" t="s">
        <v>31</v>
      </c>
      <c r="M3" s="749" t="s">
        <v>32</v>
      </c>
      <c r="N3" s="813" t="s">
        <v>8</v>
      </c>
      <c r="O3" s="752" t="s">
        <v>9</v>
      </c>
      <c r="P3" s="811" t="s">
        <v>31</v>
      </c>
      <c r="Q3" s="749" t="s">
        <v>32</v>
      </c>
      <c r="R3" s="750" t="s">
        <v>8</v>
      </c>
      <c r="S3" s="751" t="str">
        <f>G3</f>
        <v>%Diff</v>
      </c>
      <c r="T3" s="752" t="str">
        <f>H3</f>
        <v>Budget</v>
      </c>
      <c r="U3" s="811" t="str">
        <f>G3</f>
        <v>%Diff</v>
      </c>
      <c r="V3" s="836" t="s">
        <v>33</v>
      </c>
      <c r="W3" s="752" t="str">
        <f>H3</f>
        <v>Budget</v>
      </c>
      <c r="X3" s="811" t="s">
        <v>31</v>
      </c>
      <c r="Z3" s="806"/>
    </row>
    <row r="4" spans="1:28">
      <c r="A4" s="753"/>
      <c r="B4" s="754" t="s">
        <v>34</v>
      </c>
      <c r="C4" s="755" t="s">
        <v>35</v>
      </c>
      <c r="D4" s="756">
        <f>Actual!AM36</f>
        <v>0</v>
      </c>
      <c r="E4" s="757">
        <f>SUM(Actual!F32:AJ35)</f>
        <v>0</v>
      </c>
      <c r="F4" s="758">
        <f>((HLOOKUP(E$2,Outlook!$F$3:$Q$25,MATCH(B4,Outlook!$B$3:$B$25,0),FALSE))/Actual!E3)*(MID(D$3,1,2))</f>
        <v>0</v>
      </c>
      <c r="G4" s="759">
        <f t="shared" ref="G4:G15" si="0">IF(F4&lt;=0,0,(E4-F4)/F4)</f>
        <v>0</v>
      </c>
      <c r="H4" s="760">
        <f>((HLOOKUP(E$2,Budget!$E$3:$P$15,MATCH(B4,Budget!$B$3:$B$15,0),FALSE))/Actual!$E$3)*(MID(D$3,1,2))</f>
        <v>99165.733333333337</v>
      </c>
      <c r="I4" s="814">
        <f t="shared" ref="I4:I15" si="1">IF(H4&lt;=0,0,(E4-H4)/H4)</f>
        <v>-1</v>
      </c>
      <c r="J4" s="815">
        <f>(HLOOKUP(E$2,Outlook!$F$3:$Q$25,MATCH(B4,Outlook!$B$3:$B$25,0),FALSE))</f>
        <v>0</v>
      </c>
      <c r="K4" s="816">
        <f>HLOOKUP(E$2,Budget!$E$3:$P$15,MATCH(B4,Budget!$B$3:$B$15,0),FALSE)</f>
        <v>424996</v>
      </c>
      <c r="L4" s="814">
        <f>IF(K4&lt;=0,0,(J4-K4)/K4)</f>
        <v>-1</v>
      </c>
      <c r="M4" s="757">
        <f>(SUMIF(Outlook!$O$2:$Q$2,"Actual",Outlook!$O$4:$Q$4))+$E$4</f>
        <v>0</v>
      </c>
      <c r="N4" s="758">
        <f>(SUMIF(Outlook!$O$2:$Q$2,"ACTUAL",Outlook!O4:Q4))+F4</f>
        <v>0</v>
      </c>
      <c r="O4" s="816">
        <f>(SUMIF(Budget!$K$2:$M$2,"PLANED",Budget!K4:M4))+H4</f>
        <v>904193.7333333334</v>
      </c>
      <c r="P4" s="814">
        <f>IF(O4&lt;=0,0,(M4-O4)/O4)</f>
        <v>-1</v>
      </c>
      <c r="Q4" s="757">
        <f>(SUMIF(Outlook!$F$2:$Q$2,"actual",Outlook!$F$4:$Q$4))+$E$4</f>
        <v>0</v>
      </c>
      <c r="R4" s="758">
        <f>(SUMIF(Outlook!$F$2:$Q$2,"ACTUAL",Outlook!F4:Q4))+F4</f>
        <v>0</v>
      </c>
      <c r="S4" s="759">
        <f>IF(R4&lt;=0,0,(Q4-R4)/R4)</f>
        <v>0</v>
      </c>
      <c r="T4" s="760">
        <f>(SUMIF(Budget!$E$2:$P$2,"PLANED",Budget!E4:P4))+H4</f>
        <v>2159773.7333333334</v>
      </c>
      <c r="U4" s="837">
        <f>IF(T4&lt;=0,0,(Q4-T4)/T4)</f>
        <v>-1</v>
      </c>
      <c r="V4" s="838">
        <f>Outlook!R4</f>
        <v>1402970.0000740029</v>
      </c>
      <c r="W4" s="839">
        <f>Budget!Q4</f>
        <v>3407767</v>
      </c>
      <c r="X4" s="840">
        <f>IF(W4&lt;=0,0,(V4-W4)/W4)</f>
        <v>-0.58830225186346286</v>
      </c>
      <c r="Z4" s="855"/>
    </row>
    <row r="5" spans="1:28">
      <c r="A5" s="753"/>
      <c r="B5" s="761" t="s">
        <v>36</v>
      </c>
      <c r="C5" s="762" t="s">
        <v>37</v>
      </c>
      <c r="D5" s="756">
        <f>Actual!AM157</f>
        <v>0</v>
      </c>
      <c r="E5" s="763">
        <f>SUM(Actual!F157:AJ157)</f>
        <v>0</v>
      </c>
      <c r="F5" s="764">
        <f>((HLOOKUP(E$2,Outlook!$F$3:$Q$25,MATCH(B5,Outlook!$B$3:$B$25,0),FALSE))/Actual!E3)*(MID(D$3,1,2))</f>
        <v>0</v>
      </c>
      <c r="G5" s="765">
        <f t="shared" si="0"/>
        <v>0</v>
      </c>
      <c r="H5" s="766">
        <f>((HLOOKUP(E$2,Budget!$E$3:$P$15,MATCH(B5,Budget!$B$3:$B$15,0),FALSE))/Actual!$E$3)*(MID(D$3,1,2))</f>
        <v>15317.166666666666</v>
      </c>
      <c r="I5" s="817">
        <f t="shared" si="1"/>
        <v>-1</v>
      </c>
      <c r="J5" s="818">
        <f>(HLOOKUP(E$2,Outlook!$F$3:$Q$25,MATCH(B5,Outlook!$B$3:$B$25,0),FALSE))</f>
        <v>0</v>
      </c>
      <c r="K5" s="819">
        <f>HLOOKUP(E$2,Budget!$E$3:$P$15,MATCH(B5,Budget!$B$3:$B$15,0),FALSE)</f>
        <v>65645</v>
      </c>
      <c r="L5" s="817">
        <f>IF(K5&lt;=0,0,(J5-K5)/K5)</f>
        <v>-1</v>
      </c>
      <c r="M5" s="757">
        <f>(SUMIF(Outlook!$O$2:$Q$2,"Actual",Outlook!$O$4:$Q$4))+$E$4</f>
        <v>0</v>
      </c>
      <c r="N5" s="758">
        <f>(SUMIF(Outlook!$K$2:$M$2,"ACTUAL",Outlook!I5:K5))+F5</f>
        <v>0</v>
      </c>
      <c r="O5" s="816">
        <f>(SUMIF(Budget!$K$2:$M$2,"PLANED",Budget!K5:M5))+H5</f>
        <v>143842.16666666666</v>
      </c>
      <c r="P5" s="814">
        <f t="shared" ref="P5:P14" si="2">IF(O5&lt;=0,0,(M5-O5)/O5)</f>
        <v>-1</v>
      </c>
      <c r="Q5" s="773">
        <f>(SUMIF(Outlook!$F$2:$Q$2,"actual",Outlook!$F$5:$Q$5))+E5</f>
        <v>0</v>
      </c>
      <c r="R5" s="758">
        <f>(SUMIF(Outlook!$F$2:$Q$2,"ACTUAL",Outlook!F5:Q5))+F5</f>
        <v>0</v>
      </c>
      <c r="S5" s="774">
        <f>IF(R5&lt;=0,0,(Q5-R5)/R5)</f>
        <v>0</v>
      </c>
      <c r="T5" s="760">
        <f>(SUMIF(Budget!$E$2:$P$2,"PLANED",Budget!E5:P5))+H5</f>
        <v>265592.16666666669</v>
      </c>
      <c r="U5" s="817">
        <f t="shared" ref="U5:U15" si="3">IF(T5&lt;=0,0,(Q5-T5)/T5)</f>
        <v>-1</v>
      </c>
      <c r="V5" s="841">
        <f>Outlook!R5</f>
        <v>158989</v>
      </c>
      <c r="W5" s="842">
        <f>Budget!Q5</f>
        <v>539999</v>
      </c>
      <c r="X5" s="814">
        <f t="shared" ref="X5:X15" si="4">IF(W5&lt;=0,0,(V5-W5)/W5)</f>
        <v>-0.70557538069514947</v>
      </c>
      <c r="Z5" s="855"/>
    </row>
    <row r="6" spans="1:28">
      <c r="A6" s="753"/>
      <c r="B6" s="761" t="s">
        <v>38</v>
      </c>
      <c r="C6" s="762" t="s">
        <v>39</v>
      </c>
      <c r="D6" s="767">
        <f>IF(OR(D4=0,D5=0),0,D4/D5)</f>
        <v>0</v>
      </c>
      <c r="E6" s="768">
        <f>IF(OR(E4=0,E5=0),0,E4/E5)</f>
        <v>0</v>
      </c>
      <c r="F6" s="769">
        <f>IF(OR(F4=0,F5=0),0,F4/F5)</f>
        <v>0</v>
      </c>
      <c r="G6" s="770">
        <f t="shared" si="0"/>
        <v>0</v>
      </c>
      <c r="H6" s="771">
        <f>IF(OR(H4=0,H5=0),0,H4/H5)</f>
        <v>6.4741564475588396</v>
      </c>
      <c r="I6" s="817">
        <f t="shared" si="1"/>
        <v>-1</v>
      </c>
      <c r="J6" s="820">
        <f>IF(OR(J4=0,J5=0),0,J4/J5)</f>
        <v>0</v>
      </c>
      <c r="K6" s="821">
        <f>IF(OR(K4=0,K5=0),0,K4/K5)</f>
        <v>6.4741564475588396</v>
      </c>
      <c r="L6" s="817">
        <f t="shared" ref="L6:L15" si="5">IF(K6&lt;=0,0,(J6-K6)/K6)</f>
        <v>-1</v>
      </c>
      <c r="M6" s="757">
        <f>IF(OR(M4=0,M5=0),0,M4/M5)</f>
        <v>0</v>
      </c>
      <c r="N6" s="769">
        <f>IF(OR(N4=0,N5=0),0,N4/N5)</f>
        <v>0</v>
      </c>
      <c r="O6" s="816">
        <f>(SUMIF(Budget!$K$2:$M$2,"PLANED",Budget!K6:M6))+H6</f>
        <v>19.004626183207055</v>
      </c>
      <c r="P6" s="814">
        <f t="shared" si="2"/>
        <v>-1</v>
      </c>
      <c r="Q6" s="768">
        <f>IF(OR(Q4=0,Q5=0),0,Q4/Q5)</f>
        <v>0</v>
      </c>
      <c r="R6" s="769">
        <f>IF(OR(R4=0,R5=0),0,R4/R5)</f>
        <v>0</v>
      </c>
      <c r="S6" s="774">
        <f t="shared" ref="S6:S15" si="6">IF(R6&lt;=0,0,(Q6-R6)/R6)</f>
        <v>0</v>
      </c>
      <c r="T6" s="771">
        <f>IF(OR(T4=0,T5=0),0,T4/T5)</f>
        <v>8.1319180472817649</v>
      </c>
      <c r="U6" s="817">
        <f t="shared" si="3"/>
        <v>-1</v>
      </c>
      <c r="V6" s="843">
        <f>IF(OR(V4=0,V5=0),0,V4/V5)</f>
        <v>8.824321179918126</v>
      </c>
      <c r="W6" s="844">
        <f>IF(OR(W4=0,W5=0),0,W4/W5)</f>
        <v>6.3106913160950295</v>
      </c>
      <c r="X6" s="814">
        <f t="shared" si="4"/>
        <v>0.3983129165916004</v>
      </c>
      <c r="Z6" s="856"/>
    </row>
    <row r="7" spans="1:28">
      <c r="A7" s="753"/>
      <c r="B7" s="761" t="s">
        <v>40</v>
      </c>
      <c r="C7" s="762" t="s">
        <v>37</v>
      </c>
      <c r="D7" s="772">
        <f>Actual!AK231</f>
        <v>351.37</v>
      </c>
      <c r="E7" s="773">
        <f>Actual!AJ231</f>
        <v>351.37</v>
      </c>
      <c r="F7" s="764">
        <f>(HLOOKUP(E$2,Outlook!$F$3:$Q$25,MATCH(B7,Outlook!$B$3:$B$25,0),FALSE))</f>
        <v>351.37</v>
      </c>
      <c r="G7" s="759">
        <f t="shared" si="0"/>
        <v>0</v>
      </c>
      <c r="H7" s="766">
        <f>(HLOOKUP(E$2,Budget!$E$3:$P$15,MATCH(B7,Budget!$B$3:$B$15,0),FALSE))</f>
        <v>12353</v>
      </c>
      <c r="I7" s="817">
        <f t="shared" si="1"/>
        <v>-0.97155589735286974</v>
      </c>
      <c r="J7" s="818">
        <f>(HLOOKUP(E$2,Outlook!$F$3:$Q$25,MATCH(B7,Outlook!$B$3:$B$25,0),FALSE))</f>
        <v>351.37</v>
      </c>
      <c r="K7" s="819">
        <f>HLOOKUP(E$2,Budget!$E$3:$P$15,MATCH(B7,Budget!$B$3:$B$15,0),FALSE)</f>
        <v>12353</v>
      </c>
      <c r="L7" s="817">
        <f t="shared" si="5"/>
        <v>-0.97155589735286974</v>
      </c>
      <c r="M7" s="757">
        <f>Actual!AK231</f>
        <v>351.37</v>
      </c>
      <c r="N7" s="764">
        <f>F7</f>
        <v>351.37</v>
      </c>
      <c r="O7" s="816">
        <f>H7</f>
        <v>12353</v>
      </c>
      <c r="P7" s="814">
        <f t="shared" si="2"/>
        <v>-0.97155589735286974</v>
      </c>
      <c r="Q7" s="773">
        <f>Actual!AK231</f>
        <v>351.37</v>
      </c>
      <c r="R7" s="764">
        <f>(HLOOKUP(E$2,Outlook!$F$3:$Q$25,MATCH(B7,Outlook!$B$3:$B$25,0),FALSE))</f>
        <v>351.37</v>
      </c>
      <c r="S7" s="774">
        <f t="shared" si="6"/>
        <v>0</v>
      </c>
      <c r="T7" s="766">
        <f>(HLOOKUP(E$2,Budget!$E$3:$P$15,MATCH(B7,Budget!$B$3:$B$15,0),FALSE))</f>
        <v>12353</v>
      </c>
      <c r="U7" s="817">
        <f t="shared" si="3"/>
        <v>-0.97155589735286974</v>
      </c>
      <c r="V7" s="841">
        <f>Outlook!Q7</f>
        <v>2970</v>
      </c>
      <c r="W7" s="842">
        <f>Budget!P7</f>
        <v>2160</v>
      </c>
      <c r="X7" s="814">
        <f t="shared" si="4"/>
        <v>0.375</v>
      </c>
      <c r="Z7" s="855"/>
    </row>
    <row r="8" spans="1:28">
      <c r="A8" s="753"/>
      <c r="B8" s="761" t="s">
        <v>41</v>
      </c>
      <c r="C8" s="762" t="s">
        <v>37</v>
      </c>
      <c r="D8" s="772">
        <f>Actual!AK232</f>
        <v>0</v>
      </c>
      <c r="E8" s="763">
        <f>Actual!AJ232</f>
        <v>0</v>
      </c>
      <c r="F8" s="764">
        <f>((HLOOKUP(E$2,Outlook!$F$3:$Q$25,MATCH(B8,Outlook!$B$3:$B$25,0),FALSE))/Actual!E3)*(MID(D$3,1,2))</f>
        <v>0</v>
      </c>
      <c r="G8" s="774">
        <f t="shared" si="0"/>
        <v>0</v>
      </c>
      <c r="H8" s="766">
        <f>((HLOOKUP(E$2,Budget!$E$3:$P$15,MATCH(B8,Budget!$B$3:$B$15,0),FALSE))/Actual!$E$3)*(MID(D$3,1,2))</f>
        <v>17500</v>
      </c>
      <c r="I8" s="817">
        <f t="shared" si="1"/>
        <v>-1</v>
      </c>
      <c r="J8" s="818">
        <f>(HLOOKUP(E$2,Outlook!$F$3:$Q$25,MATCH(B8,Outlook!$B$3:$B$25,0),FALSE))</f>
        <v>0</v>
      </c>
      <c r="K8" s="819">
        <f>HLOOKUP(E$2,Budget!$E$3:$P$15,MATCH(B8,Budget!$B$3:$B$15,0),FALSE)</f>
        <v>75000</v>
      </c>
      <c r="L8" s="817">
        <f t="shared" si="5"/>
        <v>-1</v>
      </c>
      <c r="M8" s="757">
        <f>(SUMIF(Outlook!$O$2:$Q$2,"Actual",Outlook!$O$4:$Q$4))+$E$4</f>
        <v>0</v>
      </c>
      <c r="N8" s="764">
        <f>(SUMIF(Outlook!$L$2:$N$2,"ACTUAL",Outlook!K8:M8))+F8</f>
        <v>0</v>
      </c>
      <c r="O8" s="816">
        <f>(SUMIF(Budget!$K$2:$M$2,"PLANED",Budget!K8:M8))+H8</f>
        <v>135500</v>
      </c>
      <c r="P8" s="814">
        <f t="shared" si="2"/>
        <v>-1</v>
      </c>
      <c r="Q8" s="773">
        <f>(SUMIF(Outlook!$F$2:$Q$2,"actual",Outlook!$F$8:$Q$8))+E8</f>
        <v>0</v>
      </c>
      <c r="R8" s="764">
        <f>(SUMIF(Outlook!$F$2:$Q$2,"ACTUAL",Outlook!F8:Q8))+F8</f>
        <v>0</v>
      </c>
      <c r="S8" s="774">
        <f t="shared" si="6"/>
        <v>0</v>
      </c>
      <c r="T8" s="766">
        <f>(SUMIF(Budget!$E$2:$P$2,"PLANED",Budget!E8:P8))+$H$8</f>
        <v>245501</v>
      </c>
      <c r="U8" s="817">
        <f t="shared" si="3"/>
        <v>-1</v>
      </c>
      <c r="V8" s="841">
        <f>Outlook!R8</f>
        <v>155989</v>
      </c>
      <c r="W8" s="842">
        <f>Budget!Q8</f>
        <v>537001</v>
      </c>
      <c r="X8" s="814">
        <f t="shared" si="4"/>
        <v>-0.70951823180962414</v>
      </c>
      <c r="Z8" s="855"/>
    </row>
    <row r="9" spans="1:28">
      <c r="A9" s="753"/>
      <c r="B9" s="761" t="s">
        <v>42</v>
      </c>
      <c r="C9" s="762" t="s">
        <v>37</v>
      </c>
      <c r="D9" s="772">
        <f>Actual!AK235</f>
        <v>0</v>
      </c>
      <c r="E9" s="763">
        <f>Actual!AJ283</f>
        <v>0</v>
      </c>
      <c r="F9" s="764">
        <f>((HLOOKUP(E$2,Outlook!$F$3:$Q$25,MATCH(B9,Outlook!$B$3:$B$25,0),FALSE))/Actual!E3)*(MID(D$3,1,2))</f>
        <v>0</v>
      </c>
      <c r="G9" s="774">
        <f t="shared" si="0"/>
        <v>0</v>
      </c>
      <c r="H9" s="766">
        <f>(HLOOKUP(E$2,Budget!$E$3:$P$15,MATCH(B9,Budget!$B$3:$B$15,0),FALSE))/(Actual!$E$3)*(MID(D$3,1,2))</f>
        <v>17033.333333333336</v>
      </c>
      <c r="I9" s="817">
        <f t="shared" si="1"/>
        <v>-1</v>
      </c>
      <c r="J9" s="818">
        <f>(HLOOKUP(E$2,Outlook!$F$3:$Q$25,MATCH(B9,Outlook!$B$3:$B$25,0),FALSE))</f>
        <v>0</v>
      </c>
      <c r="K9" s="819">
        <f>HLOOKUP(E$2,Budget!$E$3:$P$15,MATCH(B9,Budget!$B$3:$B$15,0),FALSE)</f>
        <v>73000</v>
      </c>
      <c r="L9" s="817">
        <f t="shared" si="5"/>
        <v>-1</v>
      </c>
      <c r="M9" s="757">
        <f>(SUMIF(Outlook!$O$2:$Q$2,"Actual",Outlook!$O$4:$Q$4))+$E$4</f>
        <v>0</v>
      </c>
      <c r="N9" s="764">
        <f>(SUMIF(Outlook!$K$2:$M$2,"ACTUAL",Outlook!L10:N10))+F9</f>
        <v>0</v>
      </c>
      <c r="O9" s="816">
        <f>(SUMIF(Budget!$K$2:$M$2,"PLANED",Budget!K9:M9))+H9</f>
        <v>60203.333333333336</v>
      </c>
      <c r="P9" s="814">
        <f t="shared" si="2"/>
        <v>-1</v>
      </c>
      <c r="Q9" s="773">
        <f>(SUMIF(Outlook!$F$2:$Q$2,"actual",Outlook!$F$10:$Q$10))+$E$9</f>
        <v>0</v>
      </c>
      <c r="R9" s="764">
        <f>(SUMIF(Outlook!$F$2:$Q$2,"ACTUAL",Outlook!F10:Q10))+F9</f>
        <v>0</v>
      </c>
      <c r="S9" s="774">
        <f t="shared" si="6"/>
        <v>0</v>
      </c>
      <c r="T9" s="766">
        <f>(SUMIF(Budget!$E$2:$P$2,"PLANED",Budget!E10:P10))+H9</f>
        <v>221433.33333333334</v>
      </c>
      <c r="U9" s="817">
        <f t="shared" si="3"/>
        <v>-1</v>
      </c>
      <c r="V9" s="841">
        <f>Outlook!R10</f>
        <v>153300</v>
      </c>
      <c r="W9" s="842">
        <f>Budget!Q10</f>
        <v>525600</v>
      </c>
      <c r="X9" s="814">
        <f t="shared" si="4"/>
        <v>-0.70833333333333337</v>
      </c>
      <c r="Z9" s="855"/>
    </row>
    <row r="10" spans="1:28">
      <c r="A10" s="753"/>
      <c r="B10" s="761" t="s">
        <v>43</v>
      </c>
      <c r="C10" s="762" t="s">
        <v>37</v>
      </c>
      <c r="D10" s="775">
        <f>Actual!AK236</f>
        <v>1370.3389999999999</v>
      </c>
      <c r="E10" s="773">
        <f>Actual!AK236</f>
        <v>1370.3389999999999</v>
      </c>
      <c r="F10" s="764">
        <f>((HLOOKUP(E$2,Outlook!$F$3:$Q$25,MATCH(B10,Outlook!$B$3:$B$25,0),FALSE)))</f>
        <v>1370</v>
      </c>
      <c r="G10" s="774">
        <f t="shared" si="0"/>
        <v>2.4744525547441007E-4</v>
      </c>
      <c r="H10" s="766">
        <f>((HLOOKUP(E$2,Budget!$E$3:$P$15,MATCH(B10,Budget!$B$3:$B$15,0),FALSE)))</f>
        <v>24556</v>
      </c>
      <c r="I10" s="817">
        <f t="shared" si="1"/>
        <v>-0.94419534940544059</v>
      </c>
      <c r="J10" s="818">
        <f>(HLOOKUP(E$2,Outlook!$F$3:$Q$25,MATCH(B10,Outlook!$B$3:$B$25,0),FALSE))</f>
        <v>1370</v>
      </c>
      <c r="K10" s="819">
        <f>HLOOKUP(E$2,Budget!$E$3:$P$15,MATCH(B10,Budget!$B$3:$B$15,0),FALSE)</f>
        <v>24556</v>
      </c>
      <c r="L10" s="817">
        <f t="shared" si="5"/>
        <v>-0.94420915458543742</v>
      </c>
      <c r="M10" s="773">
        <f>Actual!AK236</f>
        <v>1370.3389999999999</v>
      </c>
      <c r="N10" s="764">
        <f>F10</f>
        <v>1370</v>
      </c>
      <c r="O10" s="816">
        <f>H10</f>
        <v>24556</v>
      </c>
      <c r="P10" s="814">
        <f t="shared" si="2"/>
        <v>-0.94419534940544059</v>
      </c>
      <c r="Q10" s="773">
        <f>Actual!AK236</f>
        <v>1370.3389999999999</v>
      </c>
      <c r="R10" s="764">
        <f>(HLOOKUP(E$2,Outlook!$F$3:$Q$25,MATCH(B10,Outlook!$B$3:$B$25,0),FALSE))</f>
        <v>1370</v>
      </c>
      <c r="S10" s="774">
        <f t="shared" si="6"/>
        <v>2.4744525547441007E-4</v>
      </c>
      <c r="T10" s="766">
        <f>(HLOOKUP(E$2,Budget!$E$3:$P$15,MATCH(B10,Budget!$B$3:$B$15,0),FALSE))</f>
        <v>24556</v>
      </c>
      <c r="U10" s="817">
        <f t="shared" si="3"/>
        <v>-0.94419534940544059</v>
      </c>
      <c r="V10" s="841">
        <f>Outlook!Q9</f>
        <v>3945.9841000000015</v>
      </c>
      <c r="W10" s="842">
        <f>Budget!P9</f>
        <v>9908</v>
      </c>
      <c r="X10" s="814">
        <f t="shared" si="4"/>
        <v>-0.60173757569640685</v>
      </c>
      <c r="Z10" s="806"/>
    </row>
    <row r="11" spans="1:28">
      <c r="A11" s="753"/>
      <c r="B11" s="761" t="s">
        <v>44</v>
      </c>
      <c r="C11" s="762" t="s">
        <v>37</v>
      </c>
      <c r="D11" s="772">
        <f>Actual!AK237</f>
        <v>0</v>
      </c>
      <c r="E11" s="773">
        <f>Actual!AK237</f>
        <v>0</v>
      </c>
      <c r="F11" s="764">
        <f>(HLOOKUP(E$2,Outlook!$F$3:$Q$25,MATCH(B11,Outlook!$B$3:$B$25,0),FALSE))</f>
        <v>0</v>
      </c>
      <c r="G11" s="774">
        <f t="shared" si="0"/>
        <v>0</v>
      </c>
      <c r="H11" s="766">
        <f>(HLOOKUP(E$2,Budget!$E$3:$P$15,MATCH(B11,Budget!$B$3:$B$15,0),FALSE))</f>
        <v>0</v>
      </c>
      <c r="I11" s="817">
        <f t="shared" si="1"/>
        <v>0</v>
      </c>
      <c r="J11" s="818">
        <f>(HLOOKUP(E$2,Outlook!$F$3:$Q$25,MATCH(B11,Outlook!$B$3:$B$25,0),FALSE))</f>
        <v>0</v>
      </c>
      <c r="K11" s="819">
        <f>HLOOKUP(E$2,Budget!$E$3:$P$15,MATCH(B11,Budget!$B$3:$B$15,0),FALSE)</f>
        <v>0</v>
      </c>
      <c r="L11" s="817">
        <f t="shared" si="5"/>
        <v>0</v>
      </c>
      <c r="M11" s="773">
        <f>Actual!AK237</f>
        <v>0</v>
      </c>
      <c r="N11" s="764">
        <f>F11</f>
        <v>0</v>
      </c>
      <c r="O11" s="816">
        <f>H11</f>
        <v>0</v>
      </c>
      <c r="P11" s="814">
        <f t="shared" si="2"/>
        <v>0</v>
      </c>
      <c r="Q11" s="773">
        <f>Actual!AK237</f>
        <v>0</v>
      </c>
      <c r="R11" s="764">
        <f>(HLOOKUP(E$2,Outlook!$F$3:$Q$25,MATCH(B11,Outlook!$B$3:$B$25,0),FALSE))</f>
        <v>0</v>
      </c>
      <c r="S11" s="774">
        <f t="shared" si="6"/>
        <v>0</v>
      </c>
      <c r="T11" s="766">
        <f>(HLOOKUP(E$2,Budget!$E$3:$P$15,MATCH(B11,Budget!$B$3:$B$15,0),FALSE))</f>
        <v>0</v>
      </c>
      <c r="U11" s="817">
        <f t="shared" si="3"/>
        <v>0</v>
      </c>
      <c r="V11" s="841">
        <f>Outlook!Q21</f>
        <v>0</v>
      </c>
      <c r="W11" s="842">
        <f>Budget!P11</f>
        <v>0</v>
      </c>
      <c r="X11" s="814">
        <f t="shared" si="4"/>
        <v>0</v>
      </c>
      <c r="Y11" s="223"/>
      <c r="Z11" s="806"/>
    </row>
    <row r="12" spans="1:28">
      <c r="A12" s="753"/>
      <c r="B12" s="761" t="s">
        <v>45</v>
      </c>
      <c r="C12" s="762" t="s">
        <v>46</v>
      </c>
      <c r="D12" s="776">
        <f>Actual!AJ250</f>
        <v>0</v>
      </c>
      <c r="E12" s="777">
        <f>Actual!AJ249</f>
        <v>0</v>
      </c>
      <c r="F12" s="778">
        <f>((HLOOKUP(E$2,Outlook!$F$3:$Q$25,MATCH(B12,Outlook!$B$3:$B$25,0),FALSE))/Actual!$E$3)*(MID(D$3,1,2))</f>
        <v>41.725822348408101</v>
      </c>
      <c r="G12" s="779">
        <f t="shared" si="0"/>
        <v>-1</v>
      </c>
      <c r="H12" s="771">
        <f>((HLOOKUP(E$2,Budget!$E$3:$P$15,MATCH(B12,Budget!$B$3:$B$15,0),FALSE))/Actual!$E$3)*(MID(D$3,1,2))</f>
        <v>41.725822348408101</v>
      </c>
      <c r="I12" s="822">
        <f t="shared" si="1"/>
        <v>-1</v>
      </c>
      <c r="J12" s="820">
        <f>(HLOOKUP(E$2,Outlook!$F$3:$Q$25,MATCH(B12,Outlook!$B$3:$B$25,0),FALSE))</f>
        <v>178.824952921749</v>
      </c>
      <c r="K12" s="821">
        <f>HLOOKUP(E$2,Budget!$E$3:$P$15,MATCH(B12,Budget!$B$3:$B$15,0),FALSE)</f>
        <v>178.824952921749</v>
      </c>
      <c r="L12" s="822">
        <f t="shared" si="5"/>
        <v>0</v>
      </c>
      <c r="M12" s="768">
        <f>(SUMIF(Outlook!$O$2:$Q$2,"Actual",Outlook!$O$4:$Q$4))+$E$4</f>
        <v>0</v>
      </c>
      <c r="N12" s="778">
        <f>(SUMIF(Outlook!$O$2:$Q$2,"ACTUAL",Outlook!O12:Q12))+F12</f>
        <v>41.725822348408101</v>
      </c>
      <c r="O12" s="816">
        <f>(SUMIF(Budget!$K$2:$M$2,"PLANED",Budget!K12:M12))+H12</f>
        <v>462.85623047899605</v>
      </c>
      <c r="P12" s="823">
        <f t="shared" si="2"/>
        <v>-1</v>
      </c>
      <c r="Q12" s="768">
        <f>(SUMIF(Outlook!$F$2:$Q$2,"actual",Outlook!$F$22:$Q$22))+E12</f>
        <v>476.2</v>
      </c>
      <c r="R12" s="778">
        <f>(SUMIF(Outlook!$F$2:$Q$2,"ACTUAL",Outlook!F22:Q22))+F12</f>
        <v>517.92582234840813</v>
      </c>
      <c r="S12" s="779">
        <f t="shared" si="6"/>
        <v>-8.0563317270439611E-2</v>
      </c>
      <c r="T12" s="771">
        <f>(SUMIF(Budget!$E$2:$P$2,"PLANED",Budget!E12:P12))+(((HLOOKUP(E$2,Budget!$E$3:$P$15,MATCH(B12,Budget!$B$3:$B$15,0),FALSE))/Actual!$E$3)*(MID(D$3,1,2)))</f>
        <v>1399.2073653635241</v>
      </c>
      <c r="U12" s="822">
        <f t="shared" si="3"/>
        <v>-0.65966445589980161</v>
      </c>
      <c r="V12" s="843">
        <f>Outlook!R22</f>
        <v>1206.4639843911291</v>
      </c>
      <c r="W12" s="844">
        <f>Budget!Q12</f>
        <v>2087.7455274062449</v>
      </c>
      <c r="X12" s="817">
        <f t="shared" si="4"/>
        <v>-0.42212115003785672</v>
      </c>
      <c r="Z12" s="533"/>
    </row>
    <row r="13" spans="1:28">
      <c r="A13" s="753"/>
      <c r="B13" s="780" t="s">
        <v>47</v>
      </c>
      <c r="C13" s="781" t="s">
        <v>48</v>
      </c>
      <c r="D13" s="782">
        <f>Actual!AJ257</f>
        <v>0</v>
      </c>
      <c r="E13" s="777">
        <f>Actual!AJ256</f>
        <v>0</v>
      </c>
      <c r="F13" s="783">
        <f>((HLOOKUP(E$2,Outlook!$F$3:$Q$25,MATCH(B13,Outlook!$B$3:$B$25,0),FALSE))/Actual!$E$3)*MID(D$3,1,2)</f>
        <v>9.6576666666666657</v>
      </c>
      <c r="G13" s="784">
        <f t="shared" si="0"/>
        <v>-1</v>
      </c>
      <c r="H13" s="785">
        <f>((HLOOKUP(E$2,Budget!$E$3:$P$15,MATCH(B13,Budget!$B$3:$B$15,0),FALSE))/Actual!$E$3)*(MID(D$3,1,2))</f>
        <v>9.6576666666666657</v>
      </c>
      <c r="I13" s="822">
        <f t="shared" si="1"/>
        <v>-1</v>
      </c>
      <c r="J13" s="820">
        <f>(HLOOKUP(E$2,Outlook!$F$3:$Q$25,MATCH(B13,Outlook!$B$3:$B$25,0),FALSE))</f>
        <v>41.39</v>
      </c>
      <c r="K13" s="821">
        <f>HLOOKUP(E$2,Budget!$E$3:$P$15,MATCH(B13,Budget!$B$3:$B$15,0),FALSE)</f>
        <v>41.39</v>
      </c>
      <c r="L13" s="822">
        <f t="shared" si="5"/>
        <v>0</v>
      </c>
      <c r="M13" s="768">
        <f>(SUMIF(Outlook!$O$2:$Q$2,"Actual",Outlook!$O$4:$Q$4))+$E$4</f>
        <v>0</v>
      </c>
      <c r="N13" s="778">
        <f>(SUMIF(Outlook!$O$2:$Q$2,"ACTUAL",Outlook!O13:Q13))+F13</f>
        <v>9.6576666666666657</v>
      </c>
      <c r="O13" s="816">
        <f>(SUMIF(Budget!$K$2:$M$2,"PLANED",Budget!K13:M13))+H13</f>
        <v>249.3176666666667</v>
      </c>
      <c r="P13" s="823">
        <f t="shared" si="2"/>
        <v>-1</v>
      </c>
      <c r="Q13" s="768">
        <f>((SUMIF(Outlook!$F$2:$Q$2,"actual",Outlook!$F$23:$Q$23))+E13)</f>
        <v>333.86666666669771</v>
      </c>
      <c r="R13" s="845">
        <f>(SUMIF(Outlook!$F$2:$Q$2,"ACTUAL",Outlook!F23:Q23))+F13</f>
        <v>343.52433333336438</v>
      </c>
      <c r="S13" s="779">
        <f t="shared" si="6"/>
        <v>-2.8113486380874905E-2</v>
      </c>
      <c r="T13" s="771">
        <f>(SUMIF(Budget!$E$2:$P$2,"PLANED",Budget!E13:P13))+(((HLOOKUP(E$2,Budget!$E$3:$P$15,MATCH(B13,Budget!$B$3:$B$15,0),FALSE))/Actual!$E$3)*(MID(D$3,1,2)))</f>
        <v>745.63433333378339</v>
      </c>
      <c r="U13" s="822">
        <f t="shared" si="3"/>
        <v>-0.55223807201318587</v>
      </c>
      <c r="V13" s="843">
        <f>Outlook!R23</f>
        <v>715.7566666666977</v>
      </c>
      <c r="W13" s="844">
        <f>Budget!Q13</f>
        <v>1117.8666666671168</v>
      </c>
      <c r="X13" s="814">
        <f t="shared" si="4"/>
        <v>-0.35971195133610789</v>
      </c>
      <c r="Z13" s="533"/>
      <c r="AB13" s="223"/>
    </row>
    <row r="14" spans="1:28" ht="15" thickBot="1">
      <c r="A14" s="753"/>
      <c r="B14" s="786" t="s">
        <v>49</v>
      </c>
      <c r="C14" s="787" t="s">
        <v>48</v>
      </c>
      <c r="D14" s="788">
        <f>Actual!AJ264</f>
        <v>0</v>
      </c>
      <c r="E14" s="789">
        <f>Actual!AJ263</f>
        <v>0</v>
      </c>
      <c r="F14" s="790">
        <f>((HLOOKUP(E$2,Outlook!$F$3:$Q$25,MATCH(B14,Outlook!$B$3:$B$25,0),FALSE))/Actual!$E$3)*MID(D$3,1,2)</f>
        <v>12.324666666666666</v>
      </c>
      <c r="G14" s="791">
        <f t="shared" si="0"/>
        <v>-1</v>
      </c>
      <c r="H14" s="792">
        <f>((HLOOKUP(E$2,Budget!$E$3:$P$15,MATCH(B14,Budget!$B$3:$B$15,0),FALSE))/Actual!$E$3)*(MID(D$3,1,2))</f>
        <v>12.324666666666666</v>
      </c>
      <c r="I14" s="824">
        <f t="shared" si="1"/>
        <v>-1</v>
      </c>
      <c r="J14" s="825">
        <f>(HLOOKUP(E$2,Outlook!$F$3:$Q$25,MATCH(B14,Outlook!$B$3:$B$25,0),FALSE))</f>
        <v>52.82</v>
      </c>
      <c r="K14" s="826">
        <f>HLOOKUP(E$2,Budget!$E$3:$P$15,MATCH(B14,Budget!$B$3:$B$15,0),FALSE)</f>
        <v>52.82</v>
      </c>
      <c r="L14" s="827">
        <f t="shared" si="5"/>
        <v>0</v>
      </c>
      <c r="M14" s="828">
        <f>(SUMIF(Outlook!$O$2:$Q$2,"Actual",Outlook!$O$4:$Q$4))+$E$4</f>
        <v>0</v>
      </c>
      <c r="N14" s="790">
        <f>(SUMIF(Outlook!$O$2:$Q$2,"ACTUAL",Outlook!O14:Q14))+F14</f>
        <v>12.324666666666666</v>
      </c>
      <c r="O14" s="829">
        <f>(SUMIF(Budget!$K$2:$M$2,"PLANED",Budget!K14:M14))+H14</f>
        <v>122.40466666666666</v>
      </c>
      <c r="P14" s="827">
        <f t="shared" si="2"/>
        <v>-1</v>
      </c>
      <c r="Q14" s="828">
        <f>(SUMIF(Outlook!$F$2:$Q$2,"actual",Outlook!$F$24:$Q$24))+E14</f>
        <v>0</v>
      </c>
      <c r="R14" s="790">
        <f>(SUMIF(Outlook!$F$2:$Q$2,"ACTUAL",Outlook!F24:Q24))+F14</f>
        <v>12.324666666666666</v>
      </c>
      <c r="S14" s="846">
        <f t="shared" si="6"/>
        <v>-1</v>
      </c>
      <c r="T14" s="792">
        <f>(SUMIF(Budget!$E$2:$P$2,"PLANED",Budget!E14:P14))+(((HLOOKUP(E$2,Budget!$E$3:$P$15,MATCH(B14,Budget!$B$3:$B$15,0),FALSE))/Actual!$E$3)*(MID(D$3,1,2)))</f>
        <v>179.50466666666668</v>
      </c>
      <c r="U14" s="827">
        <f t="shared" si="3"/>
        <v>-1</v>
      </c>
      <c r="V14" s="847">
        <f>Outlook!R24</f>
        <v>248.67000000000002</v>
      </c>
      <c r="W14" s="848">
        <f>Budget!Q14</f>
        <v>415.84999999999997</v>
      </c>
      <c r="X14" s="849">
        <f t="shared" si="4"/>
        <v>-0.40201995911987487</v>
      </c>
      <c r="Y14" s="221"/>
      <c r="Z14" s="533"/>
    </row>
    <row r="15" spans="1:28" hidden="1">
      <c r="A15" s="753"/>
      <c r="B15" s="793" t="s">
        <v>50</v>
      </c>
      <c r="C15" s="794" t="s">
        <v>51</v>
      </c>
      <c r="D15" s="795">
        <f>Actual!AK240</f>
        <v>0</v>
      </c>
      <c r="E15" s="796">
        <f>Actual!AK240</f>
        <v>0</v>
      </c>
      <c r="F15" s="797">
        <f>(HLOOKUP(E$2,Outlook!$F$3:$Q$25,MATCH(B15,Outlook!$B$3:$B$25,0),FALSE))</f>
        <v>35000</v>
      </c>
      <c r="G15" s="798">
        <f t="shared" si="0"/>
        <v>-1</v>
      </c>
      <c r="H15" s="799">
        <f>(HLOOKUP(E$2,Budget!$E$3:$P$15,MATCH(B15,Budget!$B$3:$B$15,0),FALSE))</f>
        <v>35000</v>
      </c>
      <c r="I15" s="830">
        <f t="shared" si="1"/>
        <v>-1</v>
      </c>
      <c r="J15" s="831">
        <f>(HLOOKUP(E$2,Outlook!$F$3:$Q$25,MATCH(B15,Outlook!$B$3:$B$25,0),FALSE))</f>
        <v>35000</v>
      </c>
      <c r="K15" s="832">
        <f>HLOOKUP(E$2,Budget!$E$3:$P$15,MATCH(B15,Budget!$B$3:$B$15,0),FALSE)</f>
        <v>35000</v>
      </c>
      <c r="L15" s="830">
        <f t="shared" si="5"/>
        <v>0</v>
      </c>
      <c r="M15" s="833"/>
      <c r="N15" s="833"/>
      <c r="O15" s="833"/>
      <c r="P15" s="833"/>
      <c r="Q15" s="796">
        <f>Actual!AK240</f>
        <v>0</v>
      </c>
      <c r="R15" s="850">
        <f>Outlook!Q25</f>
        <v>35000</v>
      </c>
      <c r="S15" s="851">
        <f t="shared" si="6"/>
        <v>-1</v>
      </c>
      <c r="T15" s="799">
        <f>(HLOOKUP(E$2,Budget!$E$3:$P$15,MATCH(B15,Budget!$B$3:$B$15,0),FALSE))</f>
        <v>35000</v>
      </c>
      <c r="U15" s="830">
        <f t="shared" si="3"/>
        <v>-1</v>
      </c>
      <c r="V15" s="852">
        <f>Outlook!Q25</f>
        <v>35000</v>
      </c>
      <c r="W15" s="853">
        <f>Budget!P15</f>
        <v>35000</v>
      </c>
      <c r="X15" s="830">
        <f t="shared" si="4"/>
        <v>0</v>
      </c>
      <c r="Z15" s="806"/>
    </row>
    <row r="16" spans="1:28">
      <c r="A16" s="800"/>
      <c r="B16" s="801"/>
      <c r="C16" s="801"/>
      <c r="D16" s="801"/>
      <c r="E16" s="801"/>
      <c r="F16" s="801"/>
      <c r="G16" s="801"/>
      <c r="H16" s="801"/>
      <c r="I16" s="801"/>
      <c r="J16" s="801"/>
      <c r="K16" s="801"/>
      <c r="L16" s="834"/>
      <c r="M16" s="834"/>
      <c r="N16" s="834"/>
      <c r="O16" s="834"/>
      <c r="P16" s="834"/>
      <c r="Q16" s="801"/>
      <c r="R16" s="801"/>
      <c r="S16" s="801"/>
      <c r="T16" s="801"/>
      <c r="U16" s="801"/>
      <c r="V16" s="801"/>
      <c r="W16" s="801"/>
      <c r="X16" s="801"/>
    </row>
    <row r="17" spans="1:18" hidden="1">
      <c r="A17" s="802"/>
    </row>
    <row r="18" spans="1:18" hidden="1">
      <c r="A18" s="221"/>
      <c r="F18" s="184" t="s">
        <v>52</v>
      </c>
    </row>
    <row r="19" spans="1:18" hidden="1">
      <c r="A19" s="221"/>
    </row>
    <row r="20" spans="1:18">
      <c r="A20" s="221"/>
      <c r="R20" s="221"/>
    </row>
    <row r="21" spans="1:18">
      <c r="A21" s="221"/>
    </row>
    <row r="22" spans="1:18">
      <c r="A22" s="221"/>
    </row>
    <row r="23" spans="1:18">
      <c r="A23" s="803"/>
    </row>
    <row r="24" spans="1:18">
      <c r="A24" s="221"/>
    </row>
    <row r="25" spans="1:18">
      <c r="A25" s="221"/>
    </row>
    <row r="26" spans="1:18">
      <c r="A26" s="221"/>
    </row>
    <row r="30" spans="1:18" ht="21">
      <c r="A30" s="804"/>
    </row>
    <row r="35" spans="2:13">
      <c r="B35" s="334"/>
    </row>
    <row r="36" spans="2:13">
      <c r="B36" s="805"/>
      <c r="H36" s="219"/>
      <c r="I36" s="221"/>
    </row>
    <row r="37" spans="2:13">
      <c r="B37" s="805"/>
      <c r="E37" s="221"/>
      <c r="H37" s="219"/>
      <c r="M37" s="221"/>
    </row>
    <row r="38" spans="2:13">
      <c r="B38" s="805"/>
      <c r="H38" s="219"/>
    </row>
    <row r="39" spans="2:13">
      <c r="B39" s="805"/>
      <c r="H39" s="219"/>
    </row>
    <row r="40" spans="2:13">
      <c r="B40" s="805"/>
      <c r="H40" s="219"/>
    </row>
    <row r="41" spans="2:13">
      <c r="B41" s="805"/>
      <c r="H41" s="219"/>
    </row>
    <row r="42" spans="2:13">
      <c r="B42" s="805"/>
      <c r="H42" s="219"/>
    </row>
    <row r="43" spans="2:13">
      <c r="B43" s="805"/>
      <c r="H43" s="219"/>
    </row>
    <row r="44" spans="2:13">
      <c r="B44" s="805"/>
      <c r="H44" s="219"/>
    </row>
    <row r="45" spans="2:13">
      <c r="B45" s="805"/>
      <c r="H45" s="219"/>
    </row>
    <row r="46" spans="2:13">
      <c r="B46" s="805"/>
      <c r="H46" s="219"/>
    </row>
    <row r="47" spans="2:13">
      <c r="B47" s="805"/>
      <c r="H47" s="219"/>
    </row>
    <row r="48" spans="2:13">
      <c r="B48" s="805"/>
      <c r="H48" s="219"/>
    </row>
    <row r="49" spans="1:33">
      <c r="B49" s="805"/>
      <c r="H49" s="219"/>
    </row>
    <row r="50" spans="1:33">
      <c r="B50" s="805"/>
      <c r="H50" s="219"/>
    </row>
    <row r="51" spans="1:33">
      <c r="B51" s="805"/>
      <c r="H51" s="219"/>
    </row>
    <row r="52" spans="1:33">
      <c r="B52" s="805"/>
      <c r="H52" s="219"/>
    </row>
    <row r="53" spans="1:33">
      <c r="B53" s="805"/>
      <c r="H53" s="219"/>
    </row>
    <row r="54" spans="1:33">
      <c r="B54" s="805"/>
      <c r="H54" s="219"/>
    </row>
    <row r="55" spans="1:33">
      <c r="B55" s="805"/>
      <c r="H55" s="219"/>
    </row>
    <row r="56" spans="1:33">
      <c r="B56" s="805"/>
      <c r="H56" s="219"/>
    </row>
    <row r="57" spans="1:33">
      <c r="B57" s="805"/>
      <c r="H57" s="219"/>
    </row>
    <row r="58" spans="1:33">
      <c r="B58" s="805"/>
      <c r="H58" s="219"/>
    </row>
    <row r="59" spans="1:33">
      <c r="B59" s="805"/>
      <c r="H59" s="219"/>
    </row>
    <row r="60" spans="1:33">
      <c r="B60" s="805"/>
      <c r="H60" s="219"/>
    </row>
    <row r="61" spans="1:33">
      <c r="A61" s="806"/>
      <c r="B61" s="807"/>
      <c r="C61" s="806"/>
      <c r="D61" s="806"/>
      <c r="E61" s="806"/>
      <c r="F61" s="806"/>
      <c r="G61" s="806"/>
      <c r="H61" s="808"/>
      <c r="I61" s="806"/>
      <c r="J61" s="806"/>
      <c r="K61" s="806"/>
      <c r="L61" s="806"/>
      <c r="M61" s="806"/>
      <c r="N61" s="806"/>
      <c r="O61" s="806"/>
      <c r="P61" s="806"/>
      <c r="Q61" s="806"/>
      <c r="R61" s="806"/>
      <c r="S61" s="806"/>
      <c r="T61" s="806"/>
      <c r="U61" s="806"/>
      <c r="V61" s="806"/>
      <c r="W61" s="806"/>
      <c r="X61" s="806"/>
      <c r="Y61" s="806"/>
      <c r="Z61" s="806"/>
      <c r="AA61" s="806"/>
      <c r="AB61" s="806"/>
      <c r="AC61" s="806"/>
      <c r="AD61" s="806"/>
      <c r="AE61" s="806"/>
    </row>
    <row r="62" spans="1:33">
      <c r="A62" s="806"/>
      <c r="B62" s="807"/>
      <c r="C62" s="806"/>
      <c r="D62" s="806"/>
      <c r="E62" s="806"/>
      <c r="F62" s="806"/>
      <c r="G62" s="806"/>
      <c r="H62" s="808"/>
      <c r="I62" s="806"/>
      <c r="J62" s="806"/>
      <c r="K62" s="806"/>
      <c r="L62" s="806"/>
      <c r="M62" s="806"/>
      <c r="N62" s="806"/>
      <c r="O62" s="806"/>
      <c r="P62" s="806"/>
      <c r="Q62" s="806"/>
      <c r="R62" s="806"/>
      <c r="S62" s="806"/>
      <c r="T62" s="806"/>
      <c r="U62" s="806"/>
      <c r="V62" s="806"/>
      <c r="W62" s="806"/>
      <c r="X62" s="806"/>
      <c r="Y62" s="806"/>
      <c r="Z62" s="806"/>
      <c r="AA62" s="806"/>
      <c r="AB62" s="806"/>
      <c r="AC62" s="806"/>
      <c r="AD62" s="806"/>
      <c r="AE62" s="806"/>
    </row>
    <row r="63" spans="1:33">
      <c r="A63" s="806"/>
      <c r="B63" s="807"/>
      <c r="C63" s="806"/>
      <c r="D63" s="806"/>
      <c r="E63" s="806"/>
      <c r="F63" s="806"/>
      <c r="G63" s="806"/>
      <c r="H63" s="808"/>
      <c r="I63" s="806"/>
      <c r="J63" s="806"/>
      <c r="K63" s="806"/>
      <c r="L63" s="806"/>
      <c r="M63" s="806"/>
      <c r="N63" s="806"/>
      <c r="O63" s="806"/>
      <c r="P63" s="806"/>
      <c r="Q63" s="806"/>
      <c r="R63" s="806"/>
      <c r="S63" s="806"/>
      <c r="T63" s="806"/>
      <c r="U63" s="806"/>
      <c r="V63" s="806"/>
      <c r="W63" s="806"/>
      <c r="X63" s="806"/>
      <c r="Y63" s="806"/>
      <c r="Z63" s="806"/>
      <c r="AA63" s="806"/>
      <c r="AB63" s="806"/>
      <c r="AC63" s="806"/>
      <c r="AD63" s="806"/>
      <c r="AE63" s="806"/>
    </row>
    <row r="64" spans="1:33">
      <c r="A64" s="230"/>
      <c r="B64" s="809"/>
      <c r="C64" s="230"/>
      <c r="D64" s="230"/>
      <c r="E64" s="230"/>
      <c r="F64" s="230"/>
      <c r="G64" s="230"/>
      <c r="H64" s="533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</row>
    <row r="65" spans="1:40">
      <c r="A65" s="230"/>
      <c r="B65" s="809"/>
      <c r="C65" s="230"/>
      <c r="D65" s="230"/>
      <c r="E65" s="230"/>
      <c r="F65" s="230"/>
      <c r="G65" s="230"/>
      <c r="H65" s="533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</row>
    <row r="66" spans="1:40">
      <c r="A66" s="230"/>
      <c r="B66" s="809"/>
      <c r="C66" s="335">
        <v>1</v>
      </c>
      <c r="D66" s="335">
        <v>2</v>
      </c>
      <c r="E66" s="335">
        <v>3</v>
      </c>
      <c r="F66" s="335">
        <v>4</v>
      </c>
      <c r="G66" s="335">
        <v>5</v>
      </c>
      <c r="H66" s="335">
        <v>6</v>
      </c>
      <c r="I66" s="335">
        <v>7</v>
      </c>
      <c r="J66" s="335">
        <v>8</v>
      </c>
      <c r="K66" s="335">
        <v>9</v>
      </c>
      <c r="L66" s="335">
        <v>10</v>
      </c>
      <c r="M66" s="335"/>
      <c r="N66" s="335"/>
      <c r="O66" s="335"/>
      <c r="P66" s="335"/>
      <c r="Q66" s="335">
        <v>11</v>
      </c>
      <c r="R66" s="335">
        <v>12</v>
      </c>
      <c r="S66" s="335">
        <v>13</v>
      </c>
      <c r="T66" s="335">
        <v>14</v>
      </c>
      <c r="U66" s="335">
        <v>15</v>
      </c>
      <c r="V66" s="335">
        <v>16</v>
      </c>
      <c r="W66" s="335">
        <v>17</v>
      </c>
      <c r="X66" s="335">
        <v>18</v>
      </c>
      <c r="Y66" s="335">
        <v>19</v>
      </c>
      <c r="Z66" s="335">
        <v>20</v>
      </c>
      <c r="AA66" s="335">
        <v>21</v>
      </c>
      <c r="AB66" s="335">
        <v>22</v>
      </c>
      <c r="AC66" s="335">
        <v>23</v>
      </c>
      <c r="AD66" s="335">
        <v>24</v>
      </c>
      <c r="AE66" s="335">
        <v>25</v>
      </c>
      <c r="AF66" s="335">
        <v>26</v>
      </c>
      <c r="AG66" s="335">
        <v>27</v>
      </c>
      <c r="AH66" s="335">
        <v>28</v>
      </c>
      <c r="AI66" s="335">
        <v>29</v>
      </c>
      <c r="AJ66" s="335">
        <v>30</v>
      </c>
      <c r="AK66" s="335">
        <v>31</v>
      </c>
    </row>
    <row r="67" spans="1:40">
      <c r="A67" s="230"/>
      <c r="B67" s="809" t="s">
        <v>53</v>
      </c>
      <c r="C67" s="335">
        <f>Actual!F212</f>
        <v>424.5</v>
      </c>
      <c r="D67" s="335">
        <f>Actual!G212</f>
        <v>1168.5</v>
      </c>
      <c r="E67" s="335">
        <f>Actual!H212</f>
        <v>1930.5</v>
      </c>
      <c r="F67" s="335">
        <f>Actual!I212</f>
        <v>1350</v>
      </c>
      <c r="G67" s="335">
        <f>Actual!J212</f>
        <v>1917</v>
      </c>
      <c r="H67" s="335">
        <f>Actual!K212</f>
        <v>0</v>
      </c>
      <c r="I67" s="335">
        <f>Actual!L212</f>
        <v>1809</v>
      </c>
      <c r="J67" s="335">
        <f>Actual!M212</f>
        <v>0</v>
      </c>
      <c r="K67" s="335">
        <f>Actual!N212</f>
        <v>0</v>
      </c>
      <c r="L67" s="335">
        <f>Actual!O212</f>
        <v>0</v>
      </c>
      <c r="M67" s="335"/>
      <c r="N67" s="335"/>
      <c r="O67" s="335"/>
      <c r="P67" s="335"/>
      <c r="Q67" s="335">
        <f>Actual!P212</f>
        <v>0</v>
      </c>
      <c r="R67" s="335">
        <f>Actual!Q212</f>
        <v>0</v>
      </c>
      <c r="S67" s="335">
        <f>Actual!R212</f>
        <v>0</v>
      </c>
      <c r="T67" s="335">
        <f>Actual!S212</f>
        <v>0</v>
      </c>
      <c r="U67" s="335">
        <f>Actual!T212</f>
        <v>0</v>
      </c>
      <c r="V67" s="335">
        <f>Actual!U212</f>
        <v>0</v>
      </c>
      <c r="W67" s="335">
        <f>Actual!V212</f>
        <v>0</v>
      </c>
      <c r="X67" s="335">
        <f>Actual!W212</f>
        <v>0</v>
      </c>
      <c r="Y67" s="335">
        <f>Actual!X212</f>
        <v>0</v>
      </c>
      <c r="Z67" s="335">
        <f>Actual!Y212</f>
        <v>0</v>
      </c>
      <c r="AA67" s="335">
        <f>Actual!Z212</f>
        <v>0</v>
      </c>
      <c r="AB67" s="335">
        <f>Actual!AA212</f>
        <v>0</v>
      </c>
      <c r="AC67" s="335">
        <f>Actual!AB212</f>
        <v>0</v>
      </c>
      <c r="AD67" s="335">
        <f>Actual!AC212</f>
        <v>0</v>
      </c>
      <c r="AE67" s="335">
        <f>Actual!AD212</f>
        <v>0</v>
      </c>
      <c r="AF67" s="335">
        <f>Actual!AE212</f>
        <v>0</v>
      </c>
      <c r="AG67" s="335">
        <f>Actual!AF212</f>
        <v>0</v>
      </c>
      <c r="AH67" s="335">
        <f>Actual!AG212</f>
        <v>0</v>
      </c>
      <c r="AI67" s="335">
        <f>Actual!AH212</f>
        <v>0</v>
      </c>
      <c r="AJ67" s="335">
        <f>Actual!AI212</f>
        <v>0</v>
      </c>
      <c r="AK67" s="335">
        <f>Actual!AJ212</f>
        <v>0</v>
      </c>
    </row>
    <row r="68" spans="1:40">
      <c r="A68" s="230"/>
      <c r="B68" s="809" t="s">
        <v>54</v>
      </c>
      <c r="C68" s="335">
        <f>Actual!F194</f>
        <v>0</v>
      </c>
      <c r="D68" s="335">
        <f>Actual!G194</f>
        <v>0</v>
      </c>
      <c r="E68" s="335">
        <f>Actual!H194</f>
        <v>0</v>
      </c>
      <c r="F68" s="335">
        <f>Actual!I194</f>
        <v>0</v>
      </c>
      <c r="G68" s="335">
        <f>Actual!J194</f>
        <v>0</v>
      </c>
      <c r="H68" s="335">
        <f>Actual!K194</f>
        <v>0</v>
      </c>
      <c r="I68" s="335">
        <f>Actual!L194</f>
        <v>0</v>
      </c>
      <c r="J68" s="335">
        <f>Actual!M194</f>
        <v>0</v>
      </c>
      <c r="K68" s="335">
        <f>Actual!N194</f>
        <v>0</v>
      </c>
      <c r="L68" s="335">
        <f>Actual!O194</f>
        <v>0</v>
      </c>
      <c r="M68" s="335"/>
      <c r="N68" s="335"/>
      <c r="O68" s="335"/>
      <c r="P68" s="335"/>
      <c r="Q68" s="335">
        <f>Actual!P194</f>
        <v>0</v>
      </c>
      <c r="R68" s="335">
        <f>Actual!Q194</f>
        <v>0</v>
      </c>
      <c r="S68" s="335">
        <f>Actual!R194</f>
        <v>0</v>
      </c>
      <c r="T68" s="335">
        <f>Actual!S194</f>
        <v>0</v>
      </c>
      <c r="U68" s="335">
        <f>Actual!T194</f>
        <v>0</v>
      </c>
      <c r="V68" s="335">
        <f>Actual!U194</f>
        <v>0</v>
      </c>
      <c r="W68" s="335">
        <f>Actual!V194</f>
        <v>0</v>
      </c>
      <c r="X68" s="335">
        <f>Actual!W194</f>
        <v>0</v>
      </c>
      <c r="Y68" s="335">
        <f>Actual!X194</f>
        <v>0</v>
      </c>
      <c r="Z68" s="335">
        <f>Actual!Y194</f>
        <v>0</v>
      </c>
      <c r="AA68" s="335">
        <f>Actual!Z194</f>
        <v>0</v>
      </c>
      <c r="AB68" s="335">
        <f>Actual!AA194</f>
        <v>0</v>
      </c>
      <c r="AC68" s="335">
        <f>Actual!AB194</f>
        <v>0</v>
      </c>
      <c r="AD68" s="335">
        <f>Actual!AC194</f>
        <v>0</v>
      </c>
      <c r="AE68" s="335">
        <f>Actual!AD194</f>
        <v>0</v>
      </c>
      <c r="AF68" s="335">
        <f>Actual!AE194</f>
        <v>0</v>
      </c>
      <c r="AG68" s="335">
        <f>Actual!AF194</f>
        <v>0</v>
      </c>
      <c r="AH68" s="335">
        <f>Actual!AG194</f>
        <v>0</v>
      </c>
      <c r="AI68" s="335">
        <f>Actual!AH194</f>
        <v>0</v>
      </c>
      <c r="AJ68" s="335">
        <f>Actual!AI194</f>
        <v>0</v>
      </c>
      <c r="AK68" s="335">
        <f>Actual!AJ194</f>
        <v>0</v>
      </c>
    </row>
    <row r="69" spans="1:40">
      <c r="A69" s="230"/>
      <c r="B69" s="809" t="s">
        <v>55</v>
      </c>
      <c r="C69" s="335">
        <f>Actual!F215</f>
        <v>0</v>
      </c>
      <c r="D69" s="335">
        <f>Actual!G215</f>
        <v>0</v>
      </c>
      <c r="E69" s="335">
        <f>Actual!H215</f>
        <v>0</v>
      </c>
      <c r="F69" s="335">
        <f>Actual!I215</f>
        <v>0</v>
      </c>
      <c r="G69" s="335">
        <f>Actual!J215</f>
        <v>0</v>
      </c>
      <c r="H69" s="335">
        <f>Actual!K215</f>
        <v>0</v>
      </c>
      <c r="I69" s="335">
        <f>Actual!L215</f>
        <v>0</v>
      </c>
      <c r="J69" s="335">
        <f>Actual!M215</f>
        <v>0</v>
      </c>
      <c r="K69" s="335">
        <f>Actual!N215</f>
        <v>0</v>
      </c>
      <c r="L69" s="335">
        <f>Actual!O215</f>
        <v>0</v>
      </c>
      <c r="M69" s="335"/>
      <c r="N69" s="335"/>
      <c r="O69" s="335"/>
      <c r="P69" s="335"/>
      <c r="Q69" s="335">
        <f>Actual!P215</f>
        <v>0</v>
      </c>
      <c r="R69" s="335">
        <f>Actual!Q215</f>
        <v>0</v>
      </c>
      <c r="S69" s="335">
        <f>Actual!R215</f>
        <v>0</v>
      </c>
      <c r="T69" s="335">
        <f>Actual!S215</f>
        <v>0</v>
      </c>
      <c r="U69" s="335">
        <f>Actual!T215</f>
        <v>0</v>
      </c>
      <c r="V69" s="335">
        <f>Actual!U215</f>
        <v>0</v>
      </c>
      <c r="W69" s="335">
        <f>Actual!V215</f>
        <v>0</v>
      </c>
      <c r="X69" s="335">
        <f>Actual!W215</f>
        <v>0</v>
      </c>
      <c r="Y69" s="335">
        <f>Actual!X215</f>
        <v>0</v>
      </c>
      <c r="Z69" s="335">
        <f>Actual!Y215</f>
        <v>0</v>
      </c>
      <c r="AA69" s="335">
        <f>Actual!Z215</f>
        <v>0</v>
      </c>
      <c r="AB69" s="335">
        <f>Actual!AA215</f>
        <v>0</v>
      </c>
      <c r="AC69" s="335">
        <f>Actual!AB215</f>
        <v>0</v>
      </c>
      <c r="AD69" s="335">
        <f>Actual!AC215</f>
        <v>0</v>
      </c>
      <c r="AE69" s="335">
        <f>Actual!AD215</f>
        <v>0</v>
      </c>
      <c r="AF69" s="335">
        <f>Actual!AE215</f>
        <v>0</v>
      </c>
      <c r="AG69" s="335">
        <f>Actual!AF215</f>
        <v>0</v>
      </c>
      <c r="AH69" s="335">
        <f>Actual!AG215</f>
        <v>0</v>
      </c>
      <c r="AI69" s="335">
        <f>Actual!AH215</f>
        <v>0</v>
      </c>
      <c r="AJ69" s="335">
        <f>Actual!AI215</f>
        <v>0</v>
      </c>
      <c r="AK69" s="335">
        <f>Actual!AJ215</f>
        <v>0</v>
      </c>
    </row>
    <row r="70" spans="1:40">
      <c r="A70" s="230"/>
      <c r="B70" s="809" t="s">
        <v>56</v>
      </c>
      <c r="C70" s="335">
        <f>Actual!F197</f>
        <v>0</v>
      </c>
      <c r="D70" s="335">
        <f>Actual!G197</f>
        <v>0</v>
      </c>
      <c r="E70" s="335">
        <f>Actual!H197</f>
        <v>0</v>
      </c>
      <c r="F70" s="335">
        <f>Actual!I197</f>
        <v>0</v>
      </c>
      <c r="G70" s="335">
        <f>Actual!J197</f>
        <v>0</v>
      </c>
      <c r="H70" s="335">
        <f>Actual!K197</f>
        <v>0</v>
      </c>
      <c r="I70" s="335">
        <f>Actual!L197</f>
        <v>0</v>
      </c>
      <c r="J70" s="335">
        <f>Actual!M197</f>
        <v>0</v>
      </c>
      <c r="K70" s="335">
        <f>Actual!N197</f>
        <v>0</v>
      </c>
      <c r="L70" s="335">
        <f>Actual!O197</f>
        <v>0</v>
      </c>
      <c r="M70" s="335"/>
      <c r="N70" s="335"/>
      <c r="O70" s="335"/>
      <c r="P70" s="335"/>
      <c r="Q70" s="335">
        <f>Actual!P197</f>
        <v>0</v>
      </c>
      <c r="R70" s="335">
        <f>Actual!Q197</f>
        <v>0</v>
      </c>
      <c r="S70" s="335">
        <f>Actual!R197</f>
        <v>0</v>
      </c>
      <c r="T70" s="335">
        <f>Actual!S197</f>
        <v>0</v>
      </c>
      <c r="U70" s="335">
        <f>Actual!T197</f>
        <v>0</v>
      </c>
      <c r="V70" s="335">
        <f>Actual!U197</f>
        <v>0</v>
      </c>
      <c r="W70" s="335">
        <f>Actual!V197</f>
        <v>0</v>
      </c>
      <c r="X70" s="335">
        <f>Actual!W197</f>
        <v>0</v>
      </c>
      <c r="Y70" s="335">
        <f>Actual!X197</f>
        <v>0</v>
      </c>
      <c r="Z70" s="335">
        <f>Actual!Y197</f>
        <v>0</v>
      </c>
      <c r="AA70" s="335">
        <f>Actual!Z197</f>
        <v>0</v>
      </c>
      <c r="AB70" s="335">
        <f>Actual!AA197</f>
        <v>0</v>
      </c>
      <c r="AC70" s="335">
        <f>Actual!AB197</f>
        <v>0</v>
      </c>
      <c r="AD70" s="335">
        <f>Actual!AC197</f>
        <v>0</v>
      </c>
      <c r="AE70" s="335">
        <f>Actual!AD197</f>
        <v>0</v>
      </c>
      <c r="AF70" s="335">
        <f>Actual!AE197</f>
        <v>0</v>
      </c>
      <c r="AG70" s="335">
        <f>Actual!AF197</f>
        <v>0</v>
      </c>
      <c r="AH70" s="335">
        <f>Actual!AG197</f>
        <v>0</v>
      </c>
      <c r="AI70" s="335">
        <f>Actual!AH197</f>
        <v>0</v>
      </c>
      <c r="AJ70" s="335">
        <f>Actual!AI197</f>
        <v>0</v>
      </c>
      <c r="AK70" s="335">
        <f>Actual!AJ197</f>
        <v>0</v>
      </c>
    </row>
    <row r="71" spans="1:40" s="230" customFormat="1"/>
    <row r="72" spans="1:40">
      <c r="A72" s="806"/>
      <c r="B72" s="806"/>
      <c r="C72" s="806"/>
      <c r="D72" s="806"/>
      <c r="E72" s="806"/>
      <c r="F72" s="806"/>
      <c r="G72" s="806"/>
      <c r="H72" s="806"/>
      <c r="I72" s="806"/>
      <c r="J72" s="806"/>
      <c r="K72" s="806"/>
      <c r="L72" s="806"/>
      <c r="M72" s="806"/>
      <c r="N72" s="806"/>
      <c r="O72" s="806"/>
      <c r="P72" s="806"/>
      <c r="Q72" s="806"/>
      <c r="R72" s="806"/>
      <c r="S72" s="806"/>
      <c r="T72" s="806"/>
      <c r="U72" s="806"/>
      <c r="V72" s="806"/>
      <c r="W72" s="806"/>
      <c r="X72" s="806"/>
      <c r="Y72" s="806"/>
      <c r="Z72" s="806"/>
      <c r="AA72" s="806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</row>
    <row r="73" spans="1:40">
      <c r="A73" s="806"/>
      <c r="B73" s="806"/>
      <c r="C73" s="806"/>
      <c r="D73" s="806"/>
      <c r="E73" s="806"/>
      <c r="F73" s="806"/>
      <c r="G73" s="806"/>
      <c r="H73" s="806"/>
      <c r="I73" s="806"/>
      <c r="J73" s="806"/>
      <c r="K73" s="806"/>
      <c r="L73" s="806"/>
      <c r="M73" s="806"/>
      <c r="N73" s="806"/>
      <c r="O73" s="806"/>
      <c r="P73" s="806"/>
      <c r="Q73" s="806"/>
      <c r="R73" s="806"/>
      <c r="S73" s="806"/>
      <c r="T73" s="806"/>
      <c r="U73" s="806"/>
      <c r="V73" s="806"/>
      <c r="W73" s="806"/>
      <c r="X73" s="806"/>
      <c r="Y73" s="806"/>
      <c r="Z73" s="806"/>
      <c r="AA73" s="806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</row>
    <row r="74" spans="1:40">
      <c r="A74" s="806"/>
      <c r="B74" s="806"/>
      <c r="C74" s="806"/>
      <c r="D74" s="806"/>
      <c r="E74" s="806"/>
      <c r="F74" s="806"/>
      <c r="G74" s="806"/>
      <c r="H74" s="806"/>
      <c r="I74" s="806"/>
      <c r="J74" s="806"/>
      <c r="K74" s="806"/>
      <c r="L74" s="806"/>
      <c r="M74" s="806"/>
      <c r="N74" s="806"/>
      <c r="O74" s="806"/>
      <c r="P74" s="806"/>
      <c r="Q74" s="806"/>
      <c r="R74" s="806"/>
      <c r="S74" s="806"/>
      <c r="T74" s="806"/>
      <c r="U74" s="806"/>
      <c r="V74" s="806"/>
      <c r="W74" s="806"/>
      <c r="X74" s="806"/>
      <c r="Y74" s="806"/>
      <c r="Z74" s="806"/>
      <c r="AA74" s="806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</row>
    <row r="75" spans="1:40">
      <c r="A75" s="806"/>
      <c r="B75" s="806"/>
      <c r="C75" s="806"/>
      <c r="D75" s="806"/>
      <c r="E75" s="806"/>
      <c r="F75" s="806"/>
      <c r="G75" s="806"/>
      <c r="H75" s="806"/>
      <c r="I75" s="806"/>
      <c r="J75" s="806"/>
      <c r="K75" s="806"/>
      <c r="L75" s="806"/>
      <c r="M75" s="806"/>
      <c r="N75" s="806"/>
      <c r="O75" s="806"/>
      <c r="P75" s="806"/>
      <c r="Q75" s="806"/>
      <c r="R75" s="806"/>
      <c r="S75" s="806"/>
      <c r="T75" s="806"/>
      <c r="U75" s="806"/>
      <c r="V75" s="806"/>
      <c r="W75" s="806"/>
      <c r="X75" s="806"/>
      <c r="Y75" s="806"/>
      <c r="Z75" s="806"/>
      <c r="AA75" s="806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</row>
    <row r="76" spans="1:40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</row>
    <row r="77" spans="1:40">
      <c r="A77" s="857"/>
      <c r="B77" s="230"/>
      <c r="C77" s="230"/>
      <c r="D77" s="230"/>
      <c r="E77" s="230"/>
      <c r="F77" s="230"/>
      <c r="G77" s="533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399"/>
      <c r="AM77" s="399"/>
      <c r="AN77" s="230"/>
    </row>
    <row r="78" spans="1:40">
      <c r="A78" s="858"/>
      <c r="B78" s="859">
        <v>1</v>
      </c>
      <c r="C78" s="859">
        <v>2</v>
      </c>
      <c r="D78" s="859">
        <f>C78+1</f>
        <v>3</v>
      </c>
      <c r="E78" s="859">
        <f t="shared" ref="E78:AJ78" si="7">D78+1</f>
        <v>4</v>
      </c>
      <c r="F78" s="859">
        <f t="shared" si="7"/>
        <v>5</v>
      </c>
      <c r="G78" s="859">
        <f t="shared" si="7"/>
        <v>6</v>
      </c>
      <c r="H78" s="859">
        <f t="shared" si="7"/>
        <v>7</v>
      </c>
      <c r="I78" s="859">
        <f t="shared" si="7"/>
        <v>8</v>
      </c>
      <c r="J78" s="859">
        <f t="shared" si="7"/>
        <v>9</v>
      </c>
      <c r="K78" s="859">
        <f t="shared" si="7"/>
        <v>10</v>
      </c>
      <c r="L78" s="859">
        <f t="shared" si="7"/>
        <v>11</v>
      </c>
      <c r="M78" s="859"/>
      <c r="N78" s="859"/>
      <c r="O78" s="859"/>
      <c r="P78" s="859"/>
      <c r="Q78" s="859">
        <f>L78+1</f>
        <v>12</v>
      </c>
      <c r="R78" s="859">
        <f t="shared" si="7"/>
        <v>13</v>
      </c>
      <c r="S78" s="859">
        <f t="shared" si="7"/>
        <v>14</v>
      </c>
      <c r="T78" s="859">
        <f t="shared" si="7"/>
        <v>15</v>
      </c>
      <c r="U78" s="859">
        <f t="shared" si="7"/>
        <v>16</v>
      </c>
      <c r="V78" s="859">
        <f t="shared" si="7"/>
        <v>17</v>
      </c>
      <c r="W78" s="859">
        <f t="shared" si="7"/>
        <v>18</v>
      </c>
      <c r="X78" s="859">
        <f t="shared" si="7"/>
        <v>19</v>
      </c>
      <c r="Y78" s="859">
        <f t="shared" si="7"/>
        <v>20</v>
      </c>
      <c r="Z78" s="859">
        <f t="shared" si="7"/>
        <v>21</v>
      </c>
      <c r="AA78" s="859">
        <f t="shared" si="7"/>
        <v>22</v>
      </c>
      <c r="AB78" s="859">
        <f t="shared" si="7"/>
        <v>23</v>
      </c>
      <c r="AC78" s="859">
        <f t="shared" si="7"/>
        <v>24</v>
      </c>
      <c r="AD78" s="859">
        <f t="shared" si="7"/>
        <v>25</v>
      </c>
      <c r="AE78" s="859">
        <f t="shared" si="7"/>
        <v>26</v>
      </c>
      <c r="AF78" s="859">
        <f t="shared" si="7"/>
        <v>27</v>
      </c>
      <c r="AG78" s="859">
        <f t="shared" si="7"/>
        <v>28</v>
      </c>
      <c r="AH78" s="859">
        <f t="shared" si="7"/>
        <v>29</v>
      </c>
      <c r="AI78" s="859">
        <f t="shared" si="7"/>
        <v>30</v>
      </c>
      <c r="AJ78" s="859">
        <f t="shared" si="7"/>
        <v>31</v>
      </c>
      <c r="AK78" s="859"/>
      <c r="AL78" s="869"/>
      <c r="AM78" s="869"/>
      <c r="AN78" s="870"/>
    </row>
    <row r="79" spans="1:40">
      <c r="A79" s="858" t="s">
        <v>57</v>
      </c>
      <c r="B79" s="859">
        <f>Actual!F224</f>
        <v>0</v>
      </c>
      <c r="C79" s="859">
        <f>Actual!G224</f>
        <v>0</v>
      </c>
      <c r="D79" s="859">
        <f>Actual!H224</f>
        <v>0</v>
      </c>
      <c r="E79" s="859">
        <f>Actual!I224</f>
        <v>0</v>
      </c>
      <c r="F79" s="859">
        <f>Actual!J224</f>
        <v>0</v>
      </c>
      <c r="G79" s="859">
        <f>Actual!K224</f>
        <v>0</v>
      </c>
      <c r="H79" s="859">
        <f>Actual!L224</f>
        <v>0</v>
      </c>
      <c r="I79" s="859">
        <f>Actual!M224</f>
        <v>0</v>
      </c>
      <c r="J79" s="859">
        <f>Actual!N224</f>
        <v>0</v>
      </c>
      <c r="K79" s="859">
        <f>Actual!O224</f>
        <v>0</v>
      </c>
      <c r="L79" s="859">
        <f>Actual!P224</f>
        <v>0</v>
      </c>
      <c r="M79" s="859"/>
      <c r="N79" s="859"/>
      <c r="O79" s="859"/>
      <c r="P79" s="859"/>
      <c r="Q79" s="859">
        <f>Actual!Q224</f>
        <v>0</v>
      </c>
      <c r="R79" s="859">
        <f>Actual!R224</f>
        <v>0</v>
      </c>
      <c r="S79" s="859">
        <f>Actual!S224</f>
        <v>0</v>
      </c>
      <c r="T79" s="859">
        <f>Actual!T224</f>
        <v>0</v>
      </c>
      <c r="U79" s="859">
        <f>Actual!U224</f>
        <v>0</v>
      </c>
      <c r="V79" s="859">
        <f>Actual!V224</f>
        <v>0</v>
      </c>
      <c r="W79" s="859">
        <f>Actual!W224</f>
        <v>0</v>
      </c>
      <c r="X79" s="859">
        <f>Actual!X224</f>
        <v>0</v>
      </c>
      <c r="Y79" s="859">
        <f>Actual!Y224</f>
        <v>0</v>
      </c>
      <c r="Z79" s="859">
        <f>Actual!Z224</f>
        <v>0</v>
      </c>
      <c r="AA79" s="859">
        <f>Actual!AA224</f>
        <v>0</v>
      </c>
      <c r="AB79" s="859">
        <f>Actual!AB224</f>
        <v>0</v>
      </c>
      <c r="AC79" s="859">
        <f>Actual!AC224</f>
        <v>0</v>
      </c>
      <c r="AD79" s="859">
        <f>Actual!AD224</f>
        <v>0</v>
      </c>
      <c r="AE79" s="859">
        <f>Actual!AE224</f>
        <v>0</v>
      </c>
      <c r="AF79" s="859">
        <f>Actual!AF224</f>
        <v>0</v>
      </c>
      <c r="AG79" s="859">
        <f>Actual!AG224</f>
        <v>0</v>
      </c>
      <c r="AH79" s="859">
        <f>Actual!AH224</f>
        <v>0</v>
      </c>
      <c r="AI79" s="859">
        <f>Actual!AI224</f>
        <v>0</v>
      </c>
      <c r="AJ79" s="859">
        <f>Actual!AJ224</f>
        <v>0</v>
      </c>
      <c r="AK79" s="858"/>
      <c r="AL79" s="399"/>
      <c r="AM79" s="399"/>
      <c r="AN79" s="230"/>
    </row>
    <row r="80" spans="1:40">
      <c r="A80" s="857" t="s">
        <v>58</v>
      </c>
      <c r="B80" s="859">
        <f>Actual!E249</f>
        <v>0</v>
      </c>
      <c r="C80" s="859">
        <f>Actual!F249</f>
        <v>0</v>
      </c>
      <c r="D80" s="859">
        <f>Actual!G249</f>
        <v>0</v>
      </c>
      <c r="E80" s="859">
        <f>Actual!H249</f>
        <v>0</v>
      </c>
      <c r="F80" s="859">
        <f>Actual!I249</f>
        <v>0</v>
      </c>
      <c r="G80" s="859">
        <f>Actual!J249</f>
        <v>0</v>
      </c>
      <c r="H80" s="859">
        <f>Actual!K249</f>
        <v>0</v>
      </c>
      <c r="I80" s="859">
        <f>Actual!L249</f>
        <v>0</v>
      </c>
      <c r="J80" s="859">
        <f>Actual!M249</f>
        <v>0</v>
      </c>
      <c r="K80" s="859">
        <f>Actual!N249</f>
        <v>0</v>
      </c>
      <c r="L80" s="859">
        <f>Actual!O249</f>
        <v>0</v>
      </c>
      <c r="M80" s="859"/>
      <c r="N80" s="859"/>
      <c r="O80" s="859"/>
      <c r="P80" s="859"/>
      <c r="Q80" s="859">
        <f>Actual!P249</f>
        <v>0</v>
      </c>
      <c r="R80" s="859">
        <f>Actual!Q249</f>
        <v>0</v>
      </c>
      <c r="S80" s="859">
        <f>Actual!R249</f>
        <v>0</v>
      </c>
      <c r="T80" s="859">
        <f>Actual!S249</f>
        <v>0</v>
      </c>
      <c r="U80" s="859">
        <f>Actual!T249</f>
        <v>0</v>
      </c>
      <c r="V80" s="859">
        <f>Actual!U249</f>
        <v>0</v>
      </c>
      <c r="W80" s="859">
        <f>Actual!V249</f>
        <v>0</v>
      </c>
      <c r="X80" s="859">
        <f>Actual!W249</f>
        <v>0</v>
      </c>
      <c r="Y80" s="859">
        <f>Actual!X249</f>
        <v>0</v>
      </c>
      <c r="Z80" s="859">
        <f>Actual!Y249</f>
        <v>0</v>
      </c>
      <c r="AA80" s="859">
        <f>Actual!Z249</f>
        <v>0</v>
      </c>
      <c r="AB80" s="859">
        <f>Actual!AA249</f>
        <v>0</v>
      </c>
      <c r="AC80" s="859">
        <f>Actual!AB249</f>
        <v>0</v>
      </c>
      <c r="AD80" s="859">
        <f>Actual!AC249</f>
        <v>0</v>
      </c>
      <c r="AE80" s="859">
        <f>Actual!AD249</f>
        <v>0</v>
      </c>
      <c r="AF80" s="859">
        <f>Actual!AE249</f>
        <v>0</v>
      </c>
      <c r="AG80" s="859">
        <f>Actual!AF249</f>
        <v>0</v>
      </c>
      <c r="AH80" s="859">
        <f>Actual!AG249</f>
        <v>0</v>
      </c>
      <c r="AI80" s="859">
        <f>Actual!AH249</f>
        <v>0</v>
      </c>
      <c r="AJ80" s="859">
        <f>Actual!AI249</f>
        <v>0</v>
      </c>
      <c r="AK80" s="858"/>
      <c r="AL80" s="399"/>
      <c r="AM80" s="399"/>
      <c r="AN80" s="230"/>
    </row>
    <row r="81" spans="1:40">
      <c r="A81" s="858"/>
      <c r="B81" s="860"/>
      <c r="C81" s="860"/>
      <c r="D81" s="860"/>
      <c r="E81" s="860"/>
      <c r="F81" s="860"/>
      <c r="G81" s="860"/>
      <c r="H81" s="860"/>
      <c r="I81" s="860"/>
      <c r="J81" s="860"/>
      <c r="K81" s="860"/>
      <c r="L81" s="860"/>
      <c r="M81" s="860"/>
      <c r="N81" s="860"/>
      <c r="O81" s="860"/>
      <c r="P81" s="860"/>
      <c r="Q81" s="858"/>
      <c r="R81" s="858"/>
      <c r="S81" s="858"/>
      <c r="T81" s="858"/>
      <c r="U81" s="858"/>
      <c r="V81" s="858"/>
      <c r="W81" s="858"/>
      <c r="X81" s="858"/>
      <c r="Y81" s="858"/>
      <c r="Z81" s="858"/>
      <c r="AA81" s="858"/>
      <c r="AB81" s="858"/>
      <c r="AC81" s="858"/>
      <c r="AD81" s="858"/>
      <c r="AE81" s="858"/>
      <c r="AF81" s="858"/>
      <c r="AG81" s="858"/>
      <c r="AH81" s="858"/>
      <c r="AI81" s="858"/>
      <c r="AJ81" s="858"/>
      <c r="AK81" s="858"/>
      <c r="AL81" s="399"/>
      <c r="AM81" s="399"/>
      <c r="AN81" s="230"/>
    </row>
    <row r="82" spans="1:40">
      <c r="A82" s="858"/>
      <c r="B82" s="860"/>
      <c r="C82" s="860"/>
      <c r="D82" s="860"/>
      <c r="E82" s="860"/>
      <c r="F82" s="860"/>
      <c r="G82" s="860"/>
      <c r="H82" s="860"/>
      <c r="I82" s="865"/>
      <c r="J82" s="860"/>
      <c r="K82" s="860"/>
      <c r="L82" s="860"/>
      <c r="M82" s="860"/>
      <c r="N82" s="860"/>
      <c r="O82" s="860"/>
      <c r="P82" s="860"/>
      <c r="Q82" s="858"/>
      <c r="R82" s="858"/>
      <c r="S82" s="858"/>
      <c r="T82" s="858"/>
      <c r="U82" s="858"/>
      <c r="V82" s="858"/>
      <c r="W82" s="858"/>
      <c r="X82" s="858"/>
      <c r="Y82" s="858"/>
      <c r="Z82" s="858"/>
      <c r="AA82" s="858"/>
      <c r="AB82" s="858"/>
      <c r="AC82" s="858"/>
      <c r="AD82" s="858"/>
      <c r="AE82" s="858"/>
      <c r="AF82" s="858"/>
      <c r="AG82" s="858"/>
      <c r="AH82" s="858"/>
      <c r="AI82" s="858"/>
      <c r="AJ82" s="858"/>
      <c r="AK82" s="858"/>
      <c r="AL82" s="399"/>
      <c r="AM82" s="399"/>
      <c r="AN82" s="230"/>
    </row>
    <row r="83" spans="1:40">
      <c r="A83" s="858"/>
      <c r="B83" s="859">
        <v>1</v>
      </c>
      <c r="C83" s="859">
        <v>2</v>
      </c>
      <c r="D83" s="859">
        <f>C83+1</f>
        <v>3</v>
      </c>
      <c r="E83" s="859">
        <f t="shared" ref="E83:U83" si="8">D83+1</f>
        <v>4</v>
      </c>
      <c r="F83" s="859">
        <f t="shared" si="8"/>
        <v>5</v>
      </c>
      <c r="G83" s="859">
        <f t="shared" si="8"/>
        <v>6</v>
      </c>
      <c r="H83" s="859">
        <f t="shared" si="8"/>
        <v>7</v>
      </c>
      <c r="I83" s="859">
        <f t="shared" si="8"/>
        <v>8</v>
      </c>
      <c r="J83" s="859">
        <f t="shared" si="8"/>
        <v>9</v>
      </c>
      <c r="K83" s="859">
        <f t="shared" si="8"/>
        <v>10</v>
      </c>
      <c r="L83" s="859">
        <f t="shared" si="8"/>
        <v>11</v>
      </c>
      <c r="M83" s="859"/>
      <c r="N83" s="859"/>
      <c r="O83" s="859"/>
      <c r="P83" s="859"/>
      <c r="Q83" s="859">
        <f>L83+1</f>
        <v>12</v>
      </c>
      <c r="R83" s="859">
        <f t="shared" si="8"/>
        <v>13</v>
      </c>
      <c r="S83" s="859">
        <f t="shared" si="8"/>
        <v>14</v>
      </c>
      <c r="T83" s="859">
        <f t="shared" si="8"/>
        <v>15</v>
      </c>
      <c r="U83" s="859">
        <f t="shared" si="8"/>
        <v>16</v>
      </c>
      <c r="V83" s="859">
        <f t="shared" ref="V83:AB83" si="9">U83+1</f>
        <v>17</v>
      </c>
      <c r="W83" s="859">
        <f t="shared" si="9"/>
        <v>18</v>
      </c>
      <c r="X83" s="859">
        <f t="shared" si="9"/>
        <v>19</v>
      </c>
      <c r="Y83" s="859">
        <f t="shared" si="9"/>
        <v>20</v>
      </c>
      <c r="Z83" s="859">
        <f t="shared" si="9"/>
        <v>21</v>
      </c>
      <c r="AA83" s="859">
        <f t="shared" si="9"/>
        <v>22</v>
      </c>
      <c r="AB83" s="859">
        <f t="shared" si="9"/>
        <v>23</v>
      </c>
      <c r="AC83" s="859">
        <f t="shared" ref="AC83:AJ83" si="10">AB83+1</f>
        <v>24</v>
      </c>
      <c r="AD83" s="859">
        <f t="shared" si="10"/>
        <v>25</v>
      </c>
      <c r="AE83" s="859">
        <f t="shared" si="10"/>
        <v>26</v>
      </c>
      <c r="AF83" s="859">
        <f t="shared" si="10"/>
        <v>27</v>
      </c>
      <c r="AG83" s="859">
        <f t="shared" si="10"/>
        <v>28</v>
      </c>
      <c r="AH83" s="859">
        <f t="shared" si="10"/>
        <v>29</v>
      </c>
      <c r="AI83" s="859">
        <f t="shared" si="10"/>
        <v>30</v>
      </c>
      <c r="AJ83" s="859">
        <f t="shared" si="10"/>
        <v>31</v>
      </c>
      <c r="AK83" s="858"/>
      <c r="AL83" s="399"/>
      <c r="AM83" s="399"/>
      <c r="AN83" s="230"/>
    </row>
    <row r="84" spans="1:40">
      <c r="A84" s="858" t="s">
        <v>57</v>
      </c>
      <c r="B84" s="859">
        <f>B79</f>
        <v>0</v>
      </c>
      <c r="C84" s="859">
        <f t="shared" ref="C84:AJ84" si="11">C79</f>
        <v>0</v>
      </c>
      <c r="D84" s="859">
        <f t="shared" si="11"/>
        <v>0</v>
      </c>
      <c r="E84" s="859">
        <f t="shared" si="11"/>
        <v>0</v>
      </c>
      <c r="F84" s="859">
        <f t="shared" si="11"/>
        <v>0</v>
      </c>
      <c r="G84" s="859">
        <f t="shared" si="11"/>
        <v>0</v>
      </c>
      <c r="H84" s="859">
        <f t="shared" si="11"/>
        <v>0</v>
      </c>
      <c r="I84" s="859">
        <f t="shared" si="11"/>
        <v>0</v>
      </c>
      <c r="J84" s="859">
        <f t="shared" si="11"/>
        <v>0</v>
      </c>
      <c r="K84" s="859">
        <f t="shared" si="11"/>
        <v>0</v>
      </c>
      <c r="L84" s="859">
        <f t="shared" si="11"/>
        <v>0</v>
      </c>
      <c r="M84" s="859"/>
      <c r="N84" s="859"/>
      <c r="O84" s="859"/>
      <c r="P84" s="859"/>
      <c r="Q84" s="859">
        <f t="shared" si="11"/>
        <v>0</v>
      </c>
      <c r="R84" s="859">
        <f t="shared" si="11"/>
        <v>0</v>
      </c>
      <c r="S84" s="859">
        <f t="shared" si="11"/>
        <v>0</v>
      </c>
      <c r="T84" s="859">
        <f t="shared" si="11"/>
        <v>0</v>
      </c>
      <c r="U84" s="859">
        <f t="shared" si="11"/>
        <v>0</v>
      </c>
      <c r="V84" s="859">
        <f t="shared" si="11"/>
        <v>0</v>
      </c>
      <c r="W84" s="859">
        <f t="shared" si="11"/>
        <v>0</v>
      </c>
      <c r="X84" s="859">
        <f t="shared" si="11"/>
        <v>0</v>
      </c>
      <c r="Y84" s="859">
        <f t="shared" si="11"/>
        <v>0</v>
      </c>
      <c r="Z84" s="859">
        <f t="shared" si="11"/>
        <v>0</v>
      </c>
      <c r="AA84" s="859">
        <f t="shared" si="11"/>
        <v>0</v>
      </c>
      <c r="AB84" s="859">
        <f t="shared" si="11"/>
        <v>0</v>
      </c>
      <c r="AC84" s="859">
        <f t="shared" si="11"/>
        <v>0</v>
      </c>
      <c r="AD84" s="859">
        <f t="shared" si="11"/>
        <v>0</v>
      </c>
      <c r="AE84" s="859">
        <f t="shared" si="11"/>
        <v>0</v>
      </c>
      <c r="AF84" s="859">
        <f t="shared" si="11"/>
        <v>0</v>
      </c>
      <c r="AG84" s="859">
        <f t="shared" si="11"/>
        <v>0</v>
      </c>
      <c r="AH84" s="859">
        <f t="shared" si="11"/>
        <v>0</v>
      </c>
      <c r="AI84" s="859">
        <f t="shared" si="11"/>
        <v>0</v>
      </c>
      <c r="AJ84" s="859">
        <f t="shared" si="11"/>
        <v>0</v>
      </c>
      <c r="AK84" s="858"/>
      <c r="AL84" s="399"/>
      <c r="AM84" s="399"/>
      <c r="AN84" s="230"/>
    </row>
    <row r="85" spans="1:40">
      <c r="A85" s="857" t="s">
        <v>59</v>
      </c>
      <c r="B85" s="859">
        <f>Actual!E269</f>
        <v>0</v>
      </c>
      <c r="C85" s="859">
        <f>Actual!F269</f>
        <v>0</v>
      </c>
      <c r="D85" s="859">
        <f>Actual!G269</f>
        <v>0</v>
      </c>
      <c r="E85" s="859">
        <f>Actual!H269</f>
        <v>0</v>
      </c>
      <c r="F85" s="859">
        <f>Actual!I269</f>
        <v>0</v>
      </c>
      <c r="G85" s="859">
        <f>Actual!J269</f>
        <v>0</v>
      </c>
      <c r="H85" s="859">
        <f>Actual!K269</f>
        <v>0</v>
      </c>
      <c r="I85" s="859">
        <f>Actual!L269</f>
        <v>0</v>
      </c>
      <c r="J85" s="859">
        <f>Actual!M269</f>
        <v>0</v>
      </c>
      <c r="K85" s="859">
        <f>Actual!N269</f>
        <v>0</v>
      </c>
      <c r="L85" s="859">
        <f>Actual!O269</f>
        <v>0</v>
      </c>
      <c r="M85" s="859"/>
      <c r="N85" s="859"/>
      <c r="O85" s="859"/>
      <c r="P85" s="859"/>
      <c r="Q85" s="859">
        <f>Actual!P269</f>
        <v>0</v>
      </c>
      <c r="R85" s="859">
        <f>Actual!Q269</f>
        <v>0</v>
      </c>
      <c r="S85" s="859">
        <f>Actual!R269</f>
        <v>0</v>
      </c>
      <c r="T85" s="859">
        <f>Actual!S269</f>
        <v>0</v>
      </c>
      <c r="U85" s="859">
        <f>Actual!T269</f>
        <v>0</v>
      </c>
      <c r="V85" s="859">
        <f>Actual!U269</f>
        <v>0</v>
      </c>
      <c r="W85" s="859">
        <f>Actual!V269</f>
        <v>0</v>
      </c>
      <c r="X85" s="859">
        <f>Actual!W269</f>
        <v>0</v>
      </c>
      <c r="Y85" s="859">
        <f>Actual!X269</f>
        <v>0</v>
      </c>
      <c r="Z85" s="859">
        <f>Actual!Y269</f>
        <v>0</v>
      </c>
      <c r="AA85" s="859">
        <f>Actual!Z269</f>
        <v>0</v>
      </c>
      <c r="AB85" s="859">
        <f>Actual!AA269</f>
        <v>0</v>
      </c>
      <c r="AC85" s="859">
        <f>Actual!AB269</f>
        <v>0</v>
      </c>
      <c r="AD85" s="859">
        <f>Actual!AC269</f>
        <v>0</v>
      </c>
      <c r="AE85" s="859">
        <f>Actual!AD269</f>
        <v>0</v>
      </c>
      <c r="AF85" s="859">
        <f>Actual!AE269</f>
        <v>0</v>
      </c>
      <c r="AG85" s="859">
        <f>Actual!AF269</f>
        <v>0</v>
      </c>
      <c r="AH85" s="859">
        <f>Actual!AG269</f>
        <v>0</v>
      </c>
      <c r="AI85" s="859">
        <f>Actual!AH269</f>
        <v>0</v>
      </c>
      <c r="AJ85" s="859">
        <f>Actual!AI269</f>
        <v>0</v>
      </c>
      <c r="AK85" s="858"/>
      <c r="AL85" s="399"/>
      <c r="AM85" s="399"/>
      <c r="AN85" s="230"/>
    </row>
    <row r="86" spans="1:40">
      <c r="A86" s="857"/>
      <c r="B86" s="860"/>
      <c r="C86" s="860"/>
      <c r="D86" s="860"/>
      <c r="E86" s="860"/>
      <c r="F86" s="860"/>
      <c r="G86" s="860"/>
      <c r="H86" s="860"/>
      <c r="I86" s="866"/>
      <c r="J86" s="860"/>
      <c r="K86" s="860"/>
      <c r="L86" s="860"/>
      <c r="M86" s="860"/>
      <c r="N86" s="860"/>
      <c r="O86" s="860"/>
      <c r="P86" s="860"/>
      <c r="Q86" s="858"/>
      <c r="R86" s="858"/>
      <c r="S86" s="858"/>
      <c r="T86" s="858"/>
      <c r="U86" s="858"/>
      <c r="V86" s="858"/>
      <c r="W86" s="858"/>
      <c r="X86" s="858"/>
      <c r="Y86" s="858"/>
      <c r="Z86" s="858"/>
      <c r="AA86" s="858"/>
      <c r="AB86" s="858"/>
      <c r="AC86" s="858"/>
      <c r="AD86" s="858"/>
      <c r="AE86" s="858"/>
      <c r="AF86" s="858"/>
      <c r="AG86" s="858"/>
      <c r="AH86" s="858"/>
      <c r="AI86" s="858"/>
      <c r="AJ86" s="858"/>
      <c r="AK86" s="858"/>
      <c r="AL86" s="399"/>
      <c r="AM86" s="399"/>
    </row>
    <row r="87" spans="1:40">
      <c r="A87" s="861"/>
      <c r="B87" s="862"/>
      <c r="C87" s="862"/>
      <c r="D87" s="862"/>
      <c r="E87" s="862"/>
      <c r="F87" s="862"/>
      <c r="G87" s="862"/>
      <c r="H87" s="862"/>
      <c r="I87" s="867"/>
      <c r="J87" s="862"/>
      <c r="K87" s="862"/>
      <c r="L87" s="862"/>
      <c r="M87" s="862"/>
      <c r="N87" s="862"/>
      <c r="O87" s="862"/>
      <c r="P87" s="862"/>
      <c r="Q87" s="272"/>
      <c r="R87" s="272"/>
      <c r="S87" s="272"/>
      <c r="T87" s="272"/>
      <c r="U87" s="272"/>
      <c r="V87" s="272"/>
      <c r="W87" s="858"/>
      <c r="X87" s="858"/>
      <c r="Y87" s="858"/>
      <c r="Z87" s="858"/>
      <c r="AA87" s="858"/>
      <c r="AB87" s="858"/>
      <c r="AC87" s="858"/>
      <c r="AD87" s="858"/>
      <c r="AE87" s="858"/>
      <c r="AF87" s="858"/>
      <c r="AG87" s="858"/>
      <c r="AH87" s="272"/>
      <c r="AI87" s="272"/>
      <c r="AJ87" s="272"/>
      <c r="AK87" s="272"/>
      <c r="AL87" s="399"/>
      <c r="AM87" s="399"/>
    </row>
    <row r="88" spans="1:40">
      <c r="A88" s="863"/>
      <c r="B88" s="864"/>
      <c r="C88" s="864"/>
      <c r="D88" s="864"/>
      <c r="E88" s="864"/>
      <c r="F88" s="864"/>
      <c r="G88" s="864"/>
      <c r="H88" s="864"/>
      <c r="I88" s="868"/>
      <c r="J88" s="864"/>
      <c r="K88" s="864"/>
      <c r="L88" s="864"/>
      <c r="M88" s="864"/>
      <c r="N88" s="864"/>
      <c r="O88" s="864"/>
      <c r="P88" s="864"/>
      <c r="Q88" s="399"/>
      <c r="R88" s="399"/>
      <c r="S88" s="399"/>
      <c r="T88" s="399"/>
      <c r="U88" s="399"/>
      <c r="V88" s="399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399"/>
      <c r="AI88" s="399"/>
      <c r="AJ88" s="399"/>
      <c r="AK88" s="399"/>
      <c r="AL88" s="399"/>
      <c r="AM88" s="399"/>
    </row>
    <row r="89" spans="1:40">
      <c r="A89" s="399"/>
      <c r="B89" s="399"/>
      <c r="C89" s="399"/>
      <c r="D89" s="399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399"/>
      <c r="AI89" s="399"/>
      <c r="AJ89" s="399"/>
      <c r="AK89" s="399"/>
      <c r="AL89" s="399"/>
      <c r="AM89" s="399"/>
    </row>
    <row r="90" spans="1:40">
      <c r="A90" s="399"/>
      <c r="B90" s="399"/>
      <c r="C90" s="399"/>
      <c r="D90" s="399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806"/>
      <c r="X90" s="806"/>
      <c r="Y90" s="806"/>
      <c r="Z90" s="806"/>
      <c r="AA90" s="806"/>
      <c r="AB90" s="399"/>
      <c r="AC90" s="399"/>
      <c r="AD90" s="399"/>
      <c r="AE90" s="399"/>
      <c r="AF90" s="399"/>
      <c r="AG90" s="399"/>
      <c r="AH90" s="399"/>
      <c r="AI90" s="399"/>
      <c r="AJ90" s="399"/>
      <c r="AK90" s="399"/>
    </row>
    <row r="91" spans="1:40">
      <c r="A91" s="399"/>
      <c r="B91" s="399"/>
      <c r="C91" s="399"/>
      <c r="D91" s="399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806"/>
      <c r="X91" s="806"/>
      <c r="Y91" s="806"/>
      <c r="Z91" s="806"/>
      <c r="AA91" s="806"/>
    </row>
    <row r="92" spans="1:40">
      <c r="A92" s="399"/>
      <c r="B92" s="399"/>
      <c r="C92" s="399"/>
      <c r="D92" s="399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806"/>
      <c r="X92" s="806"/>
      <c r="Y92" s="806"/>
      <c r="Z92" s="806"/>
      <c r="AA92" s="806"/>
    </row>
    <row r="93" spans="1:40">
      <c r="A93" s="399"/>
      <c r="B93" s="399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806"/>
      <c r="X93" s="806"/>
      <c r="Y93" s="806"/>
      <c r="Z93" s="806"/>
      <c r="AA93" s="806"/>
    </row>
    <row r="94" spans="1:40">
      <c r="A94" s="399"/>
      <c r="B94" s="399"/>
      <c r="C94" s="399"/>
      <c r="D94" s="399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806"/>
      <c r="X94" s="806"/>
      <c r="Y94" s="806"/>
      <c r="Z94" s="806"/>
      <c r="AA94" s="806"/>
    </row>
    <row r="95" spans="1:40">
      <c r="A95" s="399"/>
      <c r="B95" s="399"/>
      <c r="C95" s="399"/>
      <c r="D95" s="399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806"/>
      <c r="X95" s="806"/>
      <c r="Y95" s="806"/>
      <c r="Z95" s="806"/>
      <c r="AA95" s="806"/>
    </row>
    <row r="96" spans="1:40">
      <c r="A96" s="399"/>
      <c r="B96" s="399"/>
      <c r="C96" s="399"/>
      <c r="D96" s="399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806"/>
      <c r="X96" s="806"/>
      <c r="Y96" s="806"/>
      <c r="Z96" s="806"/>
      <c r="AA96" s="806"/>
    </row>
    <row r="97" spans="1:27">
      <c r="A97" s="399"/>
      <c r="B97" s="399"/>
      <c r="C97" s="399"/>
      <c r="D97" s="399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806"/>
      <c r="X97" s="806"/>
      <c r="Y97" s="806"/>
      <c r="Z97" s="806"/>
      <c r="AA97" s="806"/>
    </row>
    <row r="98" spans="1:27">
      <c r="A98" s="399"/>
      <c r="B98" s="399"/>
      <c r="C98" s="399"/>
      <c r="D98" s="399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</row>
    <row r="99" spans="1:27">
      <c r="A99" s="399"/>
      <c r="B99" s="399"/>
      <c r="C99" s="399"/>
      <c r="D99" s="399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</row>
    <row r="100" spans="1:27">
      <c r="A100" s="399"/>
      <c r="B100" s="399"/>
      <c r="C100" s="399"/>
      <c r="D100" s="399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</row>
  </sheetData>
  <sheetProtection formatCells="0" formatColumns="0" formatRows="0"/>
  <mergeCells count="6">
    <mergeCell ref="V2:X2"/>
    <mergeCell ref="B2:C3"/>
    <mergeCell ref="E2:I2"/>
    <mergeCell ref="J2:L2"/>
    <mergeCell ref="M2:P2"/>
    <mergeCell ref="Q2:U2"/>
  </mergeCells>
  <conditionalFormatting sqref="G6">
    <cfRule type="cellIs" dxfId="6" priority="1" operator="greaterThan">
      <formula>0</formula>
    </cfRule>
  </conditionalFormatting>
  <pageMargins left="0.67" right="0.61" top="0.75" bottom="0.75" header="0.3" footer="0.3"/>
  <pageSetup paperSize="9" scale="59" orientation="landscape" horizontalDpi="1200" verticalDpi="1200"/>
  <ignoredErrors>
    <ignoredError sqref="Q6:U6 G6:L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indexed="46"/>
    <pageSetUpPr fitToPage="1"/>
  </sheetPr>
  <dimension ref="A1:AJR415"/>
  <sheetViews>
    <sheetView showGridLines="0" zoomScale="60" zoomScaleNormal="60" workbookViewId="0">
      <pane xSplit="5" ySplit="11" topLeftCell="F27" activePane="bottomRight" state="frozen"/>
      <selection pane="topRight"/>
      <selection pane="bottomLeft"/>
      <selection pane="bottomRight" activeCell="AM42" sqref="AM42"/>
    </sheetView>
  </sheetViews>
  <sheetFormatPr defaultColWidth="9.33203125" defaultRowHeight="14.4"/>
  <cols>
    <col min="1" max="1" width="10.5546875" style="184" customWidth="1"/>
    <col min="2" max="2" width="12.33203125" style="184" customWidth="1"/>
    <col min="3" max="3" width="17.5546875" style="184" customWidth="1"/>
    <col min="4" max="4" width="9.44140625" style="184" customWidth="1"/>
    <col min="5" max="5" width="16.5546875" style="184" customWidth="1"/>
    <col min="6" max="6" width="12.5546875" style="184" customWidth="1"/>
    <col min="7" max="7" width="12.44140625" style="184" customWidth="1"/>
    <col min="8" max="8" width="11.33203125" style="184" customWidth="1"/>
    <col min="9" max="9" width="12.33203125" style="184" customWidth="1"/>
    <col min="10" max="10" width="12.6640625" style="184" customWidth="1"/>
    <col min="11" max="11" width="13" style="184" customWidth="1"/>
    <col min="12" max="13" width="12.6640625" style="184" customWidth="1"/>
    <col min="14" max="25" width="13" style="184" customWidth="1"/>
    <col min="26" max="26" width="12.6640625" style="184" customWidth="1"/>
    <col min="27" max="27" width="12.44140625" style="184" customWidth="1"/>
    <col min="28" max="28" width="12.5546875" style="184" customWidth="1"/>
    <col min="29" max="30" width="12" style="184" customWidth="1"/>
    <col min="31" max="31" width="13.33203125" style="184" customWidth="1"/>
    <col min="32" max="32" width="12.5546875" style="184" customWidth="1"/>
    <col min="33" max="33" width="11.5546875" style="184" customWidth="1"/>
    <col min="34" max="34" width="11.33203125" style="184" customWidth="1"/>
    <col min="35" max="35" width="13.33203125" style="184" customWidth="1"/>
    <col min="36" max="36" width="18.6640625" style="184" customWidth="1"/>
    <col min="37" max="37" width="19.6640625" style="184" customWidth="1"/>
    <col min="38" max="38" width="21.33203125" style="184" customWidth="1"/>
    <col min="39" max="39" width="12.6640625" style="184" customWidth="1"/>
    <col min="40" max="40" width="9.5546875" style="184" customWidth="1"/>
    <col min="41" max="41" width="10.33203125" style="184" customWidth="1"/>
    <col min="42" max="42" width="9.33203125" style="184"/>
    <col min="43" max="43" width="15.33203125" style="184" customWidth="1"/>
    <col min="44" max="45" width="9.33203125" style="184"/>
    <col min="46" max="46" width="10.88671875" style="184" customWidth="1"/>
    <col min="47" max="16384" width="9.33203125" style="184"/>
  </cols>
  <sheetData>
    <row r="1" spans="2:954">
      <c r="T1" s="399"/>
      <c r="V1" s="400"/>
    </row>
    <row r="2" spans="2:954" ht="16.2" customHeight="1">
      <c r="C2" s="355" t="s">
        <v>744</v>
      </c>
      <c r="D2" s="355"/>
      <c r="H2" s="219"/>
      <c r="AA2" s="221"/>
    </row>
    <row r="3" spans="2:954">
      <c r="C3" s="356" t="s">
        <v>60</v>
      </c>
      <c r="D3" s="357"/>
      <c r="E3" s="358">
        <v>30</v>
      </c>
      <c r="F3" s="883" t="s">
        <v>61</v>
      </c>
      <c r="G3" s="883" t="s">
        <v>62</v>
      </c>
      <c r="H3" s="883" t="s">
        <v>63</v>
      </c>
      <c r="I3" s="883" t="s">
        <v>64</v>
      </c>
      <c r="J3" s="883" t="s">
        <v>65</v>
      </c>
      <c r="K3" s="883" t="s">
        <v>66</v>
      </c>
      <c r="L3" s="883" t="s">
        <v>67</v>
      </c>
      <c r="M3" s="883" t="s">
        <v>68</v>
      </c>
      <c r="N3" s="883" t="s">
        <v>69</v>
      </c>
      <c r="O3" s="883" t="s">
        <v>70</v>
      </c>
      <c r="P3" s="883" t="s">
        <v>71</v>
      </c>
      <c r="Q3" s="883" t="s">
        <v>72</v>
      </c>
      <c r="R3" s="883" t="s">
        <v>73</v>
      </c>
      <c r="S3" s="883" t="s">
        <v>74</v>
      </c>
      <c r="T3" s="883" t="s">
        <v>75</v>
      </c>
      <c r="U3" s="883" t="s">
        <v>76</v>
      </c>
      <c r="V3" s="883" t="s">
        <v>77</v>
      </c>
      <c r="W3" s="883" t="s">
        <v>78</v>
      </c>
      <c r="X3" s="883" t="s">
        <v>79</v>
      </c>
      <c r="Y3" s="883" t="s">
        <v>80</v>
      </c>
      <c r="Z3" s="883" t="s">
        <v>81</v>
      </c>
      <c r="AA3" s="883" t="s">
        <v>82</v>
      </c>
      <c r="AB3" s="884" t="s">
        <v>83</v>
      </c>
      <c r="AC3" s="883" t="s">
        <v>84</v>
      </c>
      <c r="AD3" s="883" t="s">
        <v>85</v>
      </c>
      <c r="AE3" s="883" t="s">
        <v>86</v>
      </c>
      <c r="AF3" s="883" t="s">
        <v>87</v>
      </c>
      <c r="AG3" s="883" t="s">
        <v>88</v>
      </c>
      <c r="AH3" s="883" t="s">
        <v>89</v>
      </c>
      <c r="AI3" s="883" t="s">
        <v>90</v>
      </c>
      <c r="AJ3" s="883" t="s">
        <v>91</v>
      </c>
      <c r="AK3" s="405" t="s">
        <v>92</v>
      </c>
      <c r="AL3" s="406" t="s">
        <v>93</v>
      </c>
    </row>
    <row r="4" spans="2:954" ht="15" hidden="1" customHeight="1">
      <c r="C4" s="981" t="s">
        <v>94</v>
      </c>
      <c r="D4" s="360"/>
      <c r="E4" s="361" t="s">
        <v>95</v>
      </c>
      <c r="F4" s="362">
        <v>0</v>
      </c>
      <c r="G4" s="362">
        <v>0</v>
      </c>
      <c r="H4" s="362">
        <v>0</v>
      </c>
      <c r="I4" s="362">
        <v>0</v>
      </c>
      <c r="J4" s="362">
        <v>0</v>
      </c>
      <c r="K4" s="362">
        <v>0</v>
      </c>
      <c r="L4" s="362">
        <v>0</v>
      </c>
      <c r="M4" s="362">
        <v>0</v>
      </c>
      <c r="N4" s="362">
        <v>0</v>
      </c>
      <c r="O4" s="362">
        <v>0</v>
      </c>
      <c r="P4" s="362">
        <v>0</v>
      </c>
      <c r="Q4" s="362">
        <v>0</v>
      </c>
      <c r="R4" s="362">
        <v>0</v>
      </c>
      <c r="S4" s="362">
        <v>0</v>
      </c>
      <c r="T4" s="362">
        <v>0</v>
      </c>
      <c r="U4" s="362">
        <v>0</v>
      </c>
      <c r="V4" s="362">
        <v>0</v>
      </c>
      <c r="W4" s="362">
        <v>0</v>
      </c>
      <c r="X4" s="362">
        <v>0</v>
      </c>
      <c r="Y4" s="362">
        <v>0</v>
      </c>
      <c r="Z4" s="362">
        <v>0</v>
      </c>
      <c r="AA4" s="362">
        <v>0</v>
      </c>
      <c r="AB4" s="401">
        <v>0</v>
      </c>
      <c r="AC4" s="362">
        <v>0</v>
      </c>
      <c r="AD4" s="362">
        <v>0</v>
      </c>
      <c r="AE4" s="362">
        <v>0</v>
      </c>
      <c r="AF4" s="362">
        <v>0</v>
      </c>
      <c r="AG4" s="362">
        <v>0</v>
      </c>
      <c r="AH4" s="362">
        <v>0</v>
      </c>
      <c r="AI4" s="362">
        <v>0</v>
      </c>
      <c r="AJ4" s="362">
        <v>0</v>
      </c>
      <c r="AK4" s="407">
        <f>SUM(F4:AJ4)</f>
        <v>0</v>
      </c>
      <c r="AL4" s="408">
        <f>HLOOKUP(LEFT(Summary!D3,2),Actual!F3:AJ47,2,FALSE)</f>
        <v>0</v>
      </c>
    </row>
    <row r="5" spans="2:954" ht="15" hidden="1" customHeight="1">
      <c r="C5" s="982"/>
      <c r="D5" s="363"/>
      <c r="E5" s="364" t="s">
        <v>96</v>
      </c>
      <c r="F5" s="362">
        <v>0</v>
      </c>
      <c r="G5" s="362">
        <v>0</v>
      </c>
      <c r="H5" s="362">
        <v>0</v>
      </c>
      <c r="I5" s="362">
        <v>0</v>
      </c>
      <c r="J5" s="362">
        <v>0</v>
      </c>
      <c r="K5" s="362">
        <v>0</v>
      </c>
      <c r="L5" s="362">
        <v>0</v>
      </c>
      <c r="M5" s="362">
        <v>0</v>
      </c>
      <c r="N5" s="362">
        <v>0</v>
      </c>
      <c r="O5" s="362">
        <v>0</v>
      </c>
      <c r="P5" s="362">
        <v>0</v>
      </c>
      <c r="Q5" s="362">
        <v>0</v>
      </c>
      <c r="R5" s="362">
        <v>0</v>
      </c>
      <c r="S5" s="362">
        <v>0</v>
      </c>
      <c r="T5" s="362">
        <v>0</v>
      </c>
      <c r="U5" s="362">
        <v>0</v>
      </c>
      <c r="V5" s="362">
        <v>0</v>
      </c>
      <c r="W5" s="362">
        <v>0</v>
      </c>
      <c r="X5" s="362">
        <v>0</v>
      </c>
      <c r="Y5" s="362">
        <v>0</v>
      </c>
      <c r="Z5" s="362">
        <v>0</v>
      </c>
      <c r="AA5" s="362">
        <v>0</v>
      </c>
      <c r="AB5" s="401">
        <v>0</v>
      </c>
      <c r="AC5" s="362">
        <v>0</v>
      </c>
      <c r="AD5" s="362">
        <v>0</v>
      </c>
      <c r="AE5" s="362">
        <v>0</v>
      </c>
      <c r="AF5" s="362">
        <v>0</v>
      </c>
      <c r="AG5" s="362">
        <v>0</v>
      </c>
      <c r="AH5" s="362">
        <v>0</v>
      </c>
      <c r="AI5" s="362">
        <v>0</v>
      </c>
      <c r="AJ5" s="362">
        <v>0</v>
      </c>
      <c r="AK5" s="409">
        <f>SUM(F5:AJ5)</f>
        <v>0</v>
      </c>
      <c r="AL5" s="408">
        <f>HLOOKUP(LEFT(Summary!D3,2),Actual!F3:AJ47,3,FALSE)</f>
        <v>0</v>
      </c>
      <c r="AM5" s="219"/>
    </row>
    <row r="6" spans="2:954" ht="15" hidden="1" customHeight="1">
      <c r="C6" s="982"/>
      <c r="D6" s="363"/>
      <c r="E6" s="365" t="s">
        <v>97</v>
      </c>
      <c r="F6" s="362">
        <v>0</v>
      </c>
      <c r="G6" s="362">
        <v>0</v>
      </c>
      <c r="H6" s="362">
        <v>0</v>
      </c>
      <c r="I6" s="362">
        <v>0</v>
      </c>
      <c r="J6" s="362">
        <v>0</v>
      </c>
      <c r="K6" s="362">
        <v>0</v>
      </c>
      <c r="L6" s="362">
        <v>0</v>
      </c>
      <c r="M6" s="362">
        <v>0</v>
      </c>
      <c r="N6" s="362">
        <v>0</v>
      </c>
      <c r="O6" s="362">
        <v>0</v>
      </c>
      <c r="P6" s="362">
        <v>0</v>
      </c>
      <c r="Q6" s="362">
        <v>0</v>
      </c>
      <c r="R6" s="362">
        <v>0</v>
      </c>
      <c r="S6" s="362">
        <v>0</v>
      </c>
      <c r="T6" s="362">
        <v>0</v>
      </c>
      <c r="U6" s="362">
        <v>0</v>
      </c>
      <c r="V6" s="362">
        <v>0</v>
      </c>
      <c r="W6" s="362">
        <v>0</v>
      </c>
      <c r="X6" s="362">
        <v>0</v>
      </c>
      <c r="Y6" s="362">
        <v>0</v>
      </c>
      <c r="Z6" s="362">
        <v>0</v>
      </c>
      <c r="AA6" s="362">
        <v>0</v>
      </c>
      <c r="AB6" s="401">
        <v>0</v>
      </c>
      <c r="AC6" s="362">
        <v>0</v>
      </c>
      <c r="AD6" s="362">
        <v>0</v>
      </c>
      <c r="AE6" s="362">
        <v>0</v>
      </c>
      <c r="AF6" s="362">
        <v>0</v>
      </c>
      <c r="AG6" s="362">
        <v>0</v>
      </c>
      <c r="AH6" s="362">
        <v>0</v>
      </c>
      <c r="AI6" s="362">
        <v>0</v>
      </c>
      <c r="AJ6" s="362">
        <v>0</v>
      </c>
      <c r="AK6" s="409">
        <f>SUM(F6:AJ6)</f>
        <v>0</v>
      </c>
      <c r="AL6" s="408">
        <f>HLOOKUP(LEFT(Summary!D3,2),Actual!F3:AJ47,4,FALSE)</f>
        <v>0</v>
      </c>
      <c r="AM6" s="219"/>
    </row>
    <row r="7" spans="2:954" ht="15" hidden="1" customHeight="1">
      <c r="C7" s="983"/>
      <c r="D7" s="363"/>
      <c r="E7" s="366" t="s">
        <v>98</v>
      </c>
      <c r="F7" s="367">
        <f>SUM(F4:F6)</f>
        <v>0</v>
      </c>
      <c r="G7" s="367">
        <v>0</v>
      </c>
      <c r="H7" s="367">
        <v>0</v>
      </c>
      <c r="I7" s="367">
        <f t="shared" ref="I7:AK7" si="0">SUM(I4:I6)</f>
        <v>0</v>
      </c>
      <c r="J7" s="367">
        <f t="shared" si="0"/>
        <v>0</v>
      </c>
      <c r="K7" s="367">
        <f t="shared" si="0"/>
        <v>0</v>
      </c>
      <c r="L7" s="367">
        <f t="shared" si="0"/>
        <v>0</v>
      </c>
      <c r="M7" s="367">
        <f t="shared" si="0"/>
        <v>0</v>
      </c>
      <c r="N7" s="367">
        <f t="shared" si="0"/>
        <v>0</v>
      </c>
      <c r="O7" s="367">
        <f t="shared" si="0"/>
        <v>0</v>
      </c>
      <c r="P7" s="367">
        <f t="shared" si="0"/>
        <v>0</v>
      </c>
      <c r="Q7" s="367">
        <f t="shared" si="0"/>
        <v>0</v>
      </c>
      <c r="R7" s="367">
        <f t="shared" si="0"/>
        <v>0</v>
      </c>
      <c r="S7" s="367">
        <f t="shared" si="0"/>
        <v>0</v>
      </c>
      <c r="T7" s="367">
        <f t="shared" si="0"/>
        <v>0</v>
      </c>
      <c r="U7" s="367">
        <f t="shared" si="0"/>
        <v>0</v>
      </c>
      <c r="V7" s="367">
        <f t="shared" si="0"/>
        <v>0</v>
      </c>
      <c r="W7" s="367">
        <f t="shared" si="0"/>
        <v>0</v>
      </c>
      <c r="X7" s="367">
        <f t="shared" si="0"/>
        <v>0</v>
      </c>
      <c r="Y7" s="367">
        <f t="shared" si="0"/>
        <v>0</v>
      </c>
      <c r="Z7" s="367">
        <f t="shared" si="0"/>
        <v>0</v>
      </c>
      <c r="AA7" s="367">
        <f t="shared" si="0"/>
        <v>0</v>
      </c>
      <c r="AB7" s="402">
        <f t="shared" si="0"/>
        <v>0</v>
      </c>
      <c r="AC7" s="367">
        <f t="shared" si="0"/>
        <v>0</v>
      </c>
      <c r="AD7" s="367">
        <f t="shared" si="0"/>
        <v>0</v>
      </c>
      <c r="AE7" s="367">
        <f t="shared" si="0"/>
        <v>0</v>
      </c>
      <c r="AF7" s="367">
        <f t="shared" si="0"/>
        <v>0</v>
      </c>
      <c r="AG7" s="367">
        <f t="shared" si="0"/>
        <v>0</v>
      </c>
      <c r="AH7" s="367">
        <f t="shared" si="0"/>
        <v>0</v>
      </c>
      <c r="AI7" s="367">
        <f t="shared" si="0"/>
        <v>0</v>
      </c>
      <c r="AJ7" s="367">
        <f t="shared" si="0"/>
        <v>0</v>
      </c>
      <c r="AK7" s="410">
        <f t="shared" si="0"/>
        <v>0</v>
      </c>
      <c r="AL7" s="408">
        <f>HLOOKUP(LEFT(Summary!D3,2),Actual!F3:AJ47,5,FALSE)</f>
        <v>0</v>
      </c>
      <c r="AM7" s="219"/>
      <c r="AJR7" s="184">
        <f>Actual!$F$224/31</f>
        <v>0</v>
      </c>
    </row>
    <row r="8" spans="2:954" ht="15" hidden="1" customHeight="1">
      <c r="C8" s="981" t="s">
        <v>99</v>
      </c>
      <c r="D8" s="360"/>
      <c r="E8" s="361" t="s">
        <v>95</v>
      </c>
      <c r="F8" s="368">
        <v>0</v>
      </c>
      <c r="G8" s="368">
        <v>0</v>
      </c>
      <c r="H8" s="368">
        <v>0</v>
      </c>
      <c r="I8" s="368">
        <v>0</v>
      </c>
      <c r="J8" s="368">
        <v>0</v>
      </c>
      <c r="K8" s="368">
        <v>0</v>
      </c>
      <c r="L8" s="368">
        <v>0</v>
      </c>
      <c r="M8" s="368">
        <v>0</v>
      </c>
      <c r="N8" s="368">
        <v>0</v>
      </c>
      <c r="O8" s="368">
        <v>0</v>
      </c>
      <c r="P8" s="368">
        <v>0</v>
      </c>
      <c r="Q8" s="368">
        <v>0</v>
      </c>
      <c r="R8" s="368">
        <v>0</v>
      </c>
      <c r="S8" s="368">
        <v>0</v>
      </c>
      <c r="T8" s="368">
        <v>0</v>
      </c>
      <c r="U8" s="368">
        <v>0</v>
      </c>
      <c r="V8" s="368">
        <v>0</v>
      </c>
      <c r="W8" s="368">
        <v>0</v>
      </c>
      <c r="X8" s="368">
        <v>0</v>
      </c>
      <c r="Y8" s="368">
        <v>0</v>
      </c>
      <c r="Z8" s="368">
        <v>0</v>
      </c>
      <c r="AA8" s="368">
        <v>0</v>
      </c>
      <c r="AB8" s="368">
        <v>0</v>
      </c>
      <c r="AC8" s="368">
        <v>0</v>
      </c>
      <c r="AD8" s="368">
        <v>0</v>
      </c>
      <c r="AE8" s="368">
        <v>0</v>
      </c>
      <c r="AF8" s="368">
        <v>0</v>
      </c>
      <c r="AG8" s="368">
        <v>0</v>
      </c>
      <c r="AH8" s="368">
        <v>0</v>
      </c>
      <c r="AI8" s="368">
        <v>0</v>
      </c>
      <c r="AJ8" s="368">
        <v>0</v>
      </c>
      <c r="AK8" s="407">
        <f>SUM(F8:AJ8)</f>
        <v>0</v>
      </c>
      <c r="AL8" s="408">
        <f>HLOOKUP(LEFT(Summary!D3,2),Actual!F3:AJ47,6,FALSE)</f>
        <v>0</v>
      </c>
      <c r="AM8" s="219"/>
    </row>
    <row r="9" spans="2:954" ht="15" hidden="1" customHeight="1">
      <c r="C9" s="982"/>
      <c r="D9" s="363"/>
      <c r="E9" s="364" t="s">
        <v>96</v>
      </c>
      <c r="F9" s="362">
        <v>0</v>
      </c>
      <c r="G9" s="362">
        <v>0</v>
      </c>
      <c r="H9" s="362">
        <v>0</v>
      </c>
      <c r="I9" s="362">
        <v>0</v>
      </c>
      <c r="J9" s="362">
        <v>0</v>
      </c>
      <c r="K9" s="362">
        <v>0</v>
      </c>
      <c r="L9" s="362">
        <v>0</v>
      </c>
      <c r="M9" s="362">
        <v>0</v>
      </c>
      <c r="N9" s="362">
        <v>0</v>
      </c>
      <c r="O9" s="362">
        <v>0</v>
      </c>
      <c r="P9" s="362">
        <v>0</v>
      </c>
      <c r="Q9" s="362">
        <v>0</v>
      </c>
      <c r="R9" s="362">
        <v>0</v>
      </c>
      <c r="S9" s="362">
        <v>0</v>
      </c>
      <c r="T9" s="362">
        <v>0</v>
      </c>
      <c r="U9" s="362">
        <v>0</v>
      </c>
      <c r="V9" s="362">
        <v>0</v>
      </c>
      <c r="W9" s="362">
        <v>0</v>
      </c>
      <c r="X9" s="362">
        <v>0</v>
      </c>
      <c r="Y9" s="362">
        <v>0</v>
      </c>
      <c r="Z9" s="362">
        <v>0</v>
      </c>
      <c r="AA9" s="362">
        <v>0</v>
      </c>
      <c r="AB9" s="362">
        <v>0</v>
      </c>
      <c r="AC9" s="362">
        <v>0</v>
      </c>
      <c r="AD9" s="362">
        <v>0</v>
      </c>
      <c r="AE9" s="362">
        <v>0</v>
      </c>
      <c r="AF9" s="362">
        <v>0</v>
      </c>
      <c r="AG9" s="362">
        <v>0</v>
      </c>
      <c r="AH9" s="362">
        <v>0</v>
      </c>
      <c r="AI9" s="362">
        <v>0</v>
      </c>
      <c r="AJ9" s="362">
        <v>0</v>
      </c>
      <c r="AK9" s="409">
        <f>SUM(F9:AJ9)</f>
        <v>0</v>
      </c>
      <c r="AL9" s="408">
        <f>HLOOKUP(LEFT(Summary!D3,2),Actual!F3:AJ47,7,FALSE)</f>
        <v>0</v>
      </c>
      <c r="AM9" s="219"/>
    </row>
    <row r="10" spans="2:954" ht="18" hidden="1" customHeight="1">
      <c r="C10" s="982"/>
      <c r="D10" s="363"/>
      <c r="E10" s="364" t="s">
        <v>97</v>
      </c>
      <c r="F10" s="362">
        <v>0</v>
      </c>
      <c r="G10" s="362">
        <v>0</v>
      </c>
      <c r="H10" s="362">
        <v>0</v>
      </c>
      <c r="I10" s="362">
        <v>0</v>
      </c>
      <c r="J10" s="362">
        <v>0</v>
      </c>
      <c r="K10" s="362">
        <v>0</v>
      </c>
      <c r="L10" s="362">
        <v>0</v>
      </c>
      <c r="M10" s="362">
        <v>0</v>
      </c>
      <c r="N10" s="362">
        <v>0</v>
      </c>
      <c r="O10" s="362">
        <v>0</v>
      </c>
      <c r="P10" s="362">
        <v>0</v>
      </c>
      <c r="Q10" s="362">
        <v>0</v>
      </c>
      <c r="R10" s="362">
        <v>0</v>
      </c>
      <c r="S10" s="362">
        <v>0</v>
      </c>
      <c r="T10" s="362">
        <v>0</v>
      </c>
      <c r="U10" s="362">
        <v>0</v>
      </c>
      <c r="V10" s="362">
        <v>0</v>
      </c>
      <c r="W10" s="362">
        <v>0</v>
      </c>
      <c r="X10" s="362">
        <v>0</v>
      </c>
      <c r="Y10" s="362">
        <v>0</v>
      </c>
      <c r="Z10" s="362">
        <v>0</v>
      </c>
      <c r="AA10" s="362">
        <v>0</v>
      </c>
      <c r="AB10" s="362">
        <v>0</v>
      </c>
      <c r="AC10" s="362">
        <v>0</v>
      </c>
      <c r="AD10" s="362">
        <v>0</v>
      </c>
      <c r="AE10" s="362">
        <v>0</v>
      </c>
      <c r="AF10" s="362">
        <v>0</v>
      </c>
      <c r="AG10" s="362">
        <v>0</v>
      </c>
      <c r="AH10" s="362">
        <v>0</v>
      </c>
      <c r="AI10" s="362">
        <v>0</v>
      </c>
      <c r="AJ10" s="362">
        <v>0</v>
      </c>
      <c r="AK10" s="411">
        <f>SUM(F10:AJ10)</f>
        <v>0</v>
      </c>
      <c r="AL10" s="408">
        <f>HLOOKUP(LEFT(Summary!D3,2),Actual!F3:AJ47,8,FALSE)</f>
        <v>0</v>
      </c>
      <c r="AM10" s="219"/>
    </row>
    <row r="11" spans="2:954" ht="18" hidden="1" customHeight="1">
      <c r="C11" s="983"/>
      <c r="D11" s="363"/>
      <c r="E11" s="366" t="s">
        <v>98</v>
      </c>
      <c r="F11" s="367">
        <f>SUM(F8:F10)</f>
        <v>0</v>
      </c>
      <c r="G11" s="369">
        <v>0</v>
      </c>
      <c r="H11" s="369">
        <v>0</v>
      </c>
      <c r="I11" s="369">
        <f t="shared" ref="I11:AK11" si="1">SUM(I8:I10)</f>
        <v>0</v>
      </c>
      <c r="J11" s="369">
        <f t="shared" si="1"/>
        <v>0</v>
      </c>
      <c r="K11" s="369">
        <f t="shared" si="1"/>
        <v>0</v>
      </c>
      <c r="L11" s="369">
        <f t="shared" si="1"/>
        <v>0</v>
      </c>
      <c r="M11" s="369">
        <f t="shared" si="1"/>
        <v>0</v>
      </c>
      <c r="N11" s="369">
        <f t="shared" si="1"/>
        <v>0</v>
      </c>
      <c r="O11" s="369">
        <f t="shared" si="1"/>
        <v>0</v>
      </c>
      <c r="P11" s="369">
        <f t="shared" si="1"/>
        <v>0</v>
      </c>
      <c r="Q11" s="369">
        <f t="shared" si="1"/>
        <v>0</v>
      </c>
      <c r="R11" s="369">
        <f t="shared" si="1"/>
        <v>0</v>
      </c>
      <c r="S11" s="369">
        <f t="shared" si="1"/>
        <v>0</v>
      </c>
      <c r="T11" s="369">
        <f t="shared" si="1"/>
        <v>0</v>
      </c>
      <c r="U11" s="369">
        <f t="shared" si="1"/>
        <v>0</v>
      </c>
      <c r="V11" s="369">
        <f t="shared" si="1"/>
        <v>0</v>
      </c>
      <c r="W11" s="369">
        <f t="shared" si="1"/>
        <v>0</v>
      </c>
      <c r="X11" s="369">
        <f t="shared" si="1"/>
        <v>0</v>
      </c>
      <c r="Y11" s="369">
        <f t="shared" si="1"/>
        <v>0</v>
      </c>
      <c r="Z11" s="369">
        <f t="shared" si="1"/>
        <v>0</v>
      </c>
      <c r="AA11" s="369">
        <f t="shared" si="1"/>
        <v>0</v>
      </c>
      <c r="AB11" s="403">
        <f t="shared" si="1"/>
        <v>0</v>
      </c>
      <c r="AC11" s="369">
        <f t="shared" si="1"/>
        <v>0</v>
      </c>
      <c r="AD11" s="369">
        <f t="shared" si="1"/>
        <v>0</v>
      </c>
      <c r="AE11" s="369">
        <f t="shared" si="1"/>
        <v>0</v>
      </c>
      <c r="AF11" s="369">
        <f t="shared" si="1"/>
        <v>0</v>
      </c>
      <c r="AG11" s="369">
        <f t="shared" si="1"/>
        <v>0</v>
      </c>
      <c r="AH11" s="369">
        <f t="shared" si="1"/>
        <v>0</v>
      </c>
      <c r="AI11" s="369">
        <f t="shared" si="1"/>
        <v>0</v>
      </c>
      <c r="AJ11" s="369">
        <f t="shared" si="1"/>
        <v>0</v>
      </c>
      <c r="AK11" s="412">
        <f t="shared" si="1"/>
        <v>0</v>
      </c>
      <c r="AL11" s="408">
        <f>HLOOKUP(LEFT(Summary!D3,2),Actual!F3:AJ47,9,FALSE)</f>
        <v>0</v>
      </c>
      <c r="AM11" s="219"/>
    </row>
    <row r="12" spans="2:954" ht="15" hidden="1" customHeight="1">
      <c r="B12" s="975" t="s">
        <v>100</v>
      </c>
      <c r="C12" s="952" t="s">
        <v>101</v>
      </c>
      <c r="D12" s="953"/>
      <c r="E12" s="361" t="s">
        <v>95</v>
      </c>
      <c r="F12" s="370">
        <v>0</v>
      </c>
      <c r="G12" s="370">
        <v>0</v>
      </c>
      <c r="H12" s="370">
        <v>0</v>
      </c>
      <c r="I12" s="370">
        <v>0</v>
      </c>
      <c r="J12" s="370">
        <v>0</v>
      </c>
      <c r="K12" s="370">
        <v>0</v>
      </c>
      <c r="L12" s="370">
        <v>0</v>
      </c>
      <c r="M12" s="370">
        <v>0</v>
      </c>
      <c r="N12" s="370">
        <v>0</v>
      </c>
      <c r="O12" s="370">
        <v>0</v>
      </c>
      <c r="P12" s="370">
        <v>0</v>
      </c>
      <c r="Q12" s="370">
        <v>0</v>
      </c>
      <c r="R12" s="370">
        <v>0</v>
      </c>
      <c r="S12" s="370">
        <v>0</v>
      </c>
      <c r="T12" s="370">
        <v>0</v>
      </c>
      <c r="U12" s="370">
        <v>0</v>
      </c>
      <c r="V12" s="370">
        <v>0</v>
      </c>
      <c r="W12" s="370">
        <v>0</v>
      </c>
      <c r="X12" s="370">
        <v>0</v>
      </c>
      <c r="Y12" s="370">
        <v>0</v>
      </c>
      <c r="Z12" s="370">
        <v>0</v>
      </c>
      <c r="AA12" s="370">
        <v>0</v>
      </c>
      <c r="AB12" s="370">
        <v>0</v>
      </c>
      <c r="AC12" s="370">
        <v>0</v>
      </c>
      <c r="AD12" s="370">
        <v>0</v>
      </c>
      <c r="AE12" s="370">
        <v>0</v>
      </c>
      <c r="AF12" s="370">
        <v>0</v>
      </c>
      <c r="AG12" s="370">
        <v>0</v>
      </c>
      <c r="AH12" s="370">
        <v>0</v>
      </c>
      <c r="AI12" s="370">
        <v>0</v>
      </c>
      <c r="AJ12" s="370">
        <v>0</v>
      </c>
      <c r="AK12" s="407">
        <f>SUM(F12:AJ12)</f>
        <v>0</v>
      </c>
      <c r="AL12" s="408">
        <f>HLOOKUP(LEFT(Summary!D3,2),Actual!F3:AJ47,10,FALSE)</f>
        <v>0</v>
      </c>
      <c r="AM12" s="219"/>
    </row>
    <row r="13" spans="2:954" ht="15" hidden="1" customHeight="1">
      <c r="B13" s="976"/>
      <c r="C13" s="954"/>
      <c r="D13" s="955"/>
      <c r="E13" s="364" t="s">
        <v>96</v>
      </c>
      <c r="F13" s="371">
        <v>0</v>
      </c>
      <c r="G13" s="371">
        <v>0</v>
      </c>
      <c r="H13" s="371">
        <v>0</v>
      </c>
      <c r="I13" s="371">
        <v>0</v>
      </c>
      <c r="J13" s="371">
        <v>0</v>
      </c>
      <c r="K13" s="371">
        <v>0</v>
      </c>
      <c r="L13" s="371">
        <v>0</v>
      </c>
      <c r="M13" s="371">
        <v>0</v>
      </c>
      <c r="N13" s="371">
        <v>0</v>
      </c>
      <c r="O13" s="371">
        <v>0</v>
      </c>
      <c r="P13" s="371">
        <v>0</v>
      </c>
      <c r="Q13" s="371">
        <v>0</v>
      </c>
      <c r="R13" s="371">
        <v>0</v>
      </c>
      <c r="S13" s="371">
        <v>0</v>
      </c>
      <c r="T13" s="371">
        <v>0</v>
      </c>
      <c r="U13" s="371">
        <v>0</v>
      </c>
      <c r="V13" s="371">
        <v>0</v>
      </c>
      <c r="W13" s="371">
        <v>0</v>
      </c>
      <c r="X13" s="371">
        <v>0</v>
      </c>
      <c r="Y13" s="371">
        <v>0</v>
      </c>
      <c r="Z13" s="371">
        <v>0</v>
      </c>
      <c r="AA13" s="371">
        <v>0</v>
      </c>
      <c r="AB13" s="371">
        <v>0</v>
      </c>
      <c r="AC13" s="371">
        <v>0</v>
      </c>
      <c r="AD13" s="371">
        <v>0</v>
      </c>
      <c r="AE13" s="371">
        <v>0</v>
      </c>
      <c r="AF13" s="371">
        <v>0</v>
      </c>
      <c r="AG13" s="371">
        <v>0</v>
      </c>
      <c r="AH13" s="371">
        <v>0</v>
      </c>
      <c r="AI13" s="371">
        <v>0</v>
      </c>
      <c r="AJ13" s="371">
        <v>0</v>
      </c>
      <c r="AK13" s="409">
        <f>SUM(F13:AJ13)</f>
        <v>0</v>
      </c>
      <c r="AL13" s="408">
        <f>HLOOKUP(LEFT(Summary!D3,2),Actual!F3:AJ47,11,FALSE)</f>
        <v>0</v>
      </c>
      <c r="AM13" s="219"/>
    </row>
    <row r="14" spans="2:954" ht="15" hidden="1" customHeight="1">
      <c r="B14" s="976"/>
      <c r="C14" s="954"/>
      <c r="D14" s="955"/>
      <c r="E14" s="364" t="s">
        <v>102</v>
      </c>
      <c r="F14" s="371">
        <v>0</v>
      </c>
      <c r="G14" s="371">
        <v>0</v>
      </c>
      <c r="H14" s="371">
        <v>0</v>
      </c>
      <c r="I14" s="371">
        <v>0</v>
      </c>
      <c r="J14" s="371">
        <v>0</v>
      </c>
      <c r="K14" s="371">
        <v>0</v>
      </c>
      <c r="L14" s="371">
        <v>0</v>
      </c>
      <c r="M14" s="371">
        <v>0</v>
      </c>
      <c r="N14" s="371">
        <v>0</v>
      </c>
      <c r="O14" s="371">
        <v>0</v>
      </c>
      <c r="P14" s="371">
        <v>0</v>
      </c>
      <c r="Q14" s="371">
        <v>0</v>
      </c>
      <c r="R14" s="371">
        <v>0</v>
      </c>
      <c r="S14" s="371">
        <v>0</v>
      </c>
      <c r="T14" s="371">
        <v>0</v>
      </c>
      <c r="U14" s="371">
        <v>0</v>
      </c>
      <c r="V14" s="371">
        <v>0</v>
      </c>
      <c r="W14" s="371">
        <v>0</v>
      </c>
      <c r="X14" s="371">
        <v>0</v>
      </c>
      <c r="Y14" s="371">
        <v>0</v>
      </c>
      <c r="Z14" s="371">
        <v>0</v>
      </c>
      <c r="AA14" s="371">
        <v>0</v>
      </c>
      <c r="AB14" s="371">
        <v>0</v>
      </c>
      <c r="AC14" s="371">
        <v>0</v>
      </c>
      <c r="AD14" s="371">
        <v>0</v>
      </c>
      <c r="AE14" s="371">
        <v>0</v>
      </c>
      <c r="AF14" s="371">
        <v>0</v>
      </c>
      <c r="AG14" s="371">
        <v>0</v>
      </c>
      <c r="AH14" s="371">
        <v>0</v>
      </c>
      <c r="AI14" s="371">
        <v>0</v>
      </c>
      <c r="AJ14" s="371">
        <v>0</v>
      </c>
      <c r="AK14" s="409">
        <f>SUM(F14:AJ14)</f>
        <v>0</v>
      </c>
      <c r="AL14" s="408"/>
      <c r="AM14" s="219"/>
    </row>
    <row r="15" spans="2:954" ht="15" hidden="1" customHeight="1">
      <c r="B15" s="976"/>
      <c r="C15" s="954"/>
      <c r="D15" s="955"/>
      <c r="E15" s="364" t="s">
        <v>97</v>
      </c>
      <c r="F15" s="371">
        <v>0</v>
      </c>
      <c r="G15" s="371">
        <v>0</v>
      </c>
      <c r="H15" s="371">
        <v>0</v>
      </c>
      <c r="I15" s="371">
        <v>0</v>
      </c>
      <c r="J15" s="371">
        <v>0</v>
      </c>
      <c r="K15" s="371">
        <v>0</v>
      </c>
      <c r="L15" s="371">
        <v>0</v>
      </c>
      <c r="M15" s="371">
        <v>0</v>
      </c>
      <c r="N15" s="371">
        <v>0</v>
      </c>
      <c r="O15" s="371">
        <v>0</v>
      </c>
      <c r="P15" s="371">
        <v>0</v>
      </c>
      <c r="Q15" s="371">
        <v>0</v>
      </c>
      <c r="R15" s="371">
        <v>0</v>
      </c>
      <c r="S15" s="371">
        <v>0</v>
      </c>
      <c r="T15" s="371">
        <v>0</v>
      </c>
      <c r="U15" s="371">
        <v>0</v>
      </c>
      <c r="V15" s="371">
        <v>0</v>
      </c>
      <c r="W15" s="371">
        <v>0</v>
      </c>
      <c r="X15" s="371">
        <v>0</v>
      </c>
      <c r="Y15" s="371">
        <v>0</v>
      </c>
      <c r="Z15" s="371">
        <v>0</v>
      </c>
      <c r="AA15" s="371">
        <v>0</v>
      </c>
      <c r="AB15" s="371">
        <v>0</v>
      </c>
      <c r="AC15" s="371">
        <v>0</v>
      </c>
      <c r="AD15" s="371">
        <v>0</v>
      </c>
      <c r="AE15" s="371">
        <v>0</v>
      </c>
      <c r="AF15" s="371">
        <v>0</v>
      </c>
      <c r="AG15" s="371">
        <v>0</v>
      </c>
      <c r="AH15" s="371">
        <v>0</v>
      </c>
      <c r="AI15" s="371">
        <v>0</v>
      </c>
      <c r="AJ15" s="371">
        <v>0</v>
      </c>
      <c r="AK15" s="413">
        <f>SUM(F15:AJ15)</f>
        <v>0</v>
      </c>
      <c r="AL15" s="408">
        <f>HLOOKUP(LEFT(Summary!D3,2),Actual!F3:AJ47,12,FALSE)</f>
        <v>0</v>
      </c>
      <c r="AM15" s="219"/>
    </row>
    <row r="16" spans="2:954" ht="15" hidden="1" customHeight="1">
      <c r="B16" s="976"/>
      <c r="C16" s="956"/>
      <c r="D16" s="957"/>
      <c r="E16" s="366" t="s">
        <v>98</v>
      </c>
      <c r="F16" s="367">
        <f>SUM(F12:F15)</f>
        <v>0</v>
      </c>
      <c r="G16" s="367">
        <f>SUM(G12:G15)</f>
        <v>0</v>
      </c>
      <c r="H16" s="367">
        <f>SUM(H12:H15)</f>
        <v>0</v>
      </c>
      <c r="I16" s="367">
        <f t="shared" ref="I16:AK16" si="2">SUM(I12:I15)</f>
        <v>0</v>
      </c>
      <c r="J16" s="367">
        <f t="shared" si="2"/>
        <v>0</v>
      </c>
      <c r="K16" s="367">
        <f t="shared" si="2"/>
        <v>0</v>
      </c>
      <c r="L16" s="367">
        <f t="shared" si="2"/>
        <v>0</v>
      </c>
      <c r="M16" s="367">
        <f t="shared" si="2"/>
        <v>0</v>
      </c>
      <c r="N16" s="367">
        <f t="shared" si="2"/>
        <v>0</v>
      </c>
      <c r="O16" s="367">
        <f t="shared" si="2"/>
        <v>0</v>
      </c>
      <c r="P16" s="367">
        <f t="shared" si="2"/>
        <v>0</v>
      </c>
      <c r="Q16" s="367">
        <f t="shared" si="2"/>
        <v>0</v>
      </c>
      <c r="R16" s="367">
        <f t="shared" si="2"/>
        <v>0</v>
      </c>
      <c r="S16" s="367">
        <f t="shared" si="2"/>
        <v>0</v>
      </c>
      <c r="T16" s="367">
        <f t="shared" si="2"/>
        <v>0</v>
      </c>
      <c r="U16" s="367">
        <f t="shared" si="2"/>
        <v>0</v>
      </c>
      <c r="V16" s="367">
        <f t="shared" si="2"/>
        <v>0</v>
      </c>
      <c r="W16" s="367">
        <f t="shared" si="2"/>
        <v>0</v>
      </c>
      <c r="X16" s="367">
        <f t="shared" si="2"/>
        <v>0</v>
      </c>
      <c r="Y16" s="367">
        <f t="shared" si="2"/>
        <v>0</v>
      </c>
      <c r="Z16" s="367">
        <f t="shared" si="2"/>
        <v>0</v>
      </c>
      <c r="AA16" s="367">
        <f t="shared" si="2"/>
        <v>0</v>
      </c>
      <c r="AB16" s="367">
        <f t="shared" si="2"/>
        <v>0</v>
      </c>
      <c r="AC16" s="367">
        <f t="shared" si="2"/>
        <v>0</v>
      </c>
      <c r="AD16" s="367">
        <f t="shared" si="2"/>
        <v>0</v>
      </c>
      <c r="AE16" s="367">
        <f t="shared" si="2"/>
        <v>0</v>
      </c>
      <c r="AF16" s="367">
        <f t="shared" si="2"/>
        <v>0</v>
      </c>
      <c r="AG16" s="367">
        <f t="shared" si="2"/>
        <v>0</v>
      </c>
      <c r="AH16" s="367">
        <f t="shared" si="2"/>
        <v>0</v>
      </c>
      <c r="AI16" s="367">
        <f t="shared" si="2"/>
        <v>0</v>
      </c>
      <c r="AJ16" s="367">
        <f t="shared" si="2"/>
        <v>0</v>
      </c>
      <c r="AK16" s="410">
        <f t="shared" si="2"/>
        <v>0</v>
      </c>
      <c r="AL16" s="414">
        <f>HLOOKUP(LEFT(Summary!D3,2),Actual!F3:AJ47,13,FALSE)</f>
        <v>0</v>
      </c>
      <c r="AM16" s="219"/>
    </row>
    <row r="17" spans="1:39" ht="15" hidden="1" customHeight="1">
      <c r="A17" s="372"/>
      <c r="B17" s="976"/>
      <c r="C17" s="958" t="s">
        <v>103</v>
      </c>
      <c r="D17" s="960"/>
      <c r="E17" s="361" t="s">
        <v>95</v>
      </c>
      <c r="F17" s="373">
        <v>0</v>
      </c>
      <c r="G17" s="373">
        <v>0</v>
      </c>
      <c r="H17" s="373">
        <v>0</v>
      </c>
      <c r="I17" s="373">
        <v>0</v>
      </c>
      <c r="J17" s="373">
        <v>0</v>
      </c>
      <c r="K17" s="373">
        <v>0</v>
      </c>
      <c r="L17" s="373">
        <v>0</v>
      </c>
      <c r="M17" s="373">
        <v>0</v>
      </c>
      <c r="N17" s="373">
        <v>0</v>
      </c>
      <c r="O17" s="373">
        <v>0</v>
      </c>
      <c r="P17" s="373">
        <v>0</v>
      </c>
      <c r="Q17" s="373">
        <v>0</v>
      </c>
      <c r="R17" s="373">
        <v>0</v>
      </c>
      <c r="S17" s="373">
        <v>0</v>
      </c>
      <c r="T17" s="373">
        <v>0</v>
      </c>
      <c r="U17" s="373">
        <v>0</v>
      </c>
      <c r="V17" s="373">
        <v>0</v>
      </c>
      <c r="W17" s="373">
        <v>0</v>
      </c>
      <c r="X17" s="373">
        <v>0</v>
      </c>
      <c r="Y17" s="373">
        <v>0</v>
      </c>
      <c r="Z17" s="373">
        <v>0</v>
      </c>
      <c r="AA17" s="373">
        <v>0</v>
      </c>
      <c r="AB17" s="373">
        <v>0</v>
      </c>
      <c r="AC17" s="373">
        <v>0</v>
      </c>
      <c r="AD17" s="373">
        <v>0</v>
      </c>
      <c r="AE17" s="373">
        <v>0</v>
      </c>
      <c r="AF17" s="373">
        <v>0</v>
      </c>
      <c r="AG17" s="373">
        <v>0</v>
      </c>
      <c r="AH17" s="373">
        <v>0</v>
      </c>
      <c r="AI17" s="373">
        <v>0</v>
      </c>
      <c r="AJ17" s="373">
        <v>0</v>
      </c>
      <c r="AK17" s="415">
        <f>SUM(F17:AJ17)</f>
        <v>0</v>
      </c>
      <c r="AL17" s="408">
        <f>HLOOKUP(LEFT(Summary!D3,2),Actual!F3:AJ47,14,FALSE)</f>
        <v>0</v>
      </c>
      <c r="AM17" s="219"/>
    </row>
    <row r="18" spans="1:39" ht="15" hidden="1" customHeight="1">
      <c r="A18" s="372"/>
      <c r="B18" s="976"/>
      <c r="C18" s="961"/>
      <c r="D18" s="963"/>
      <c r="E18" s="364" t="s">
        <v>96</v>
      </c>
      <c r="F18" s="373">
        <v>0</v>
      </c>
      <c r="G18" s="373">
        <v>0</v>
      </c>
      <c r="H18" s="373">
        <v>0</v>
      </c>
      <c r="I18" s="373">
        <v>0</v>
      </c>
      <c r="J18" s="373">
        <v>0</v>
      </c>
      <c r="K18" s="373">
        <v>0</v>
      </c>
      <c r="L18" s="373">
        <v>0</v>
      </c>
      <c r="M18" s="373">
        <v>0</v>
      </c>
      <c r="N18" s="373">
        <v>0</v>
      </c>
      <c r="O18" s="373">
        <v>0</v>
      </c>
      <c r="P18" s="373">
        <v>0</v>
      </c>
      <c r="Q18" s="373">
        <v>0</v>
      </c>
      <c r="R18" s="373">
        <v>0</v>
      </c>
      <c r="S18" s="373">
        <v>0</v>
      </c>
      <c r="T18" s="373">
        <v>0</v>
      </c>
      <c r="U18" s="373">
        <v>0</v>
      </c>
      <c r="V18" s="373">
        <v>0</v>
      </c>
      <c r="W18" s="373">
        <v>0</v>
      </c>
      <c r="X18" s="373">
        <v>0</v>
      </c>
      <c r="Y18" s="373">
        <v>0</v>
      </c>
      <c r="Z18" s="373">
        <v>0</v>
      </c>
      <c r="AA18" s="373">
        <v>0</v>
      </c>
      <c r="AB18" s="373">
        <v>0</v>
      </c>
      <c r="AC18" s="373">
        <v>0</v>
      </c>
      <c r="AD18" s="373">
        <v>0</v>
      </c>
      <c r="AE18" s="373">
        <v>0</v>
      </c>
      <c r="AF18" s="373">
        <v>0</v>
      </c>
      <c r="AG18" s="373">
        <v>0</v>
      </c>
      <c r="AH18" s="373">
        <v>0</v>
      </c>
      <c r="AI18" s="373">
        <v>0</v>
      </c>
      <c r="AJ18" s="373">
        <v>0</v>
      </c>
      <c r="AK18" s="416">
        <f>SUM(F18:AJ18)</f>
        <v>0</v>
      </c>
      <c r="AL18" s="408">
        <f>HLOOKUP(LEFT(Summary!D3,2),Actual!F3:AJ47,15,FALSE)</f>
        <v>0</v>
      </c>
      <c r="AM18" s="219"/>
    </row>
    <row r="19" spans="1:39" ht="15" hidden="1" customHeight="1">
      <c r="A19" s="372"/>
      <c r="B19" s="976"/>
      <c r="C19" s="961"/>
      <c r="D19" s="963"/>
      <c r="E19" s="364" t="s">
        <v>102</v>
      </c>
      <c r="F19" s="373">
        <v>0</v>
      </c>
      <c r="G19" s="373">
        <v>0</v>
      </c>
      <c r="H19" s="373">
        <v>0</v>
      </c>
      <c r="I19" s="373">
        <v>0</v>
      </c>
      <c r="J19" s="373">
        <v>0</v>
      </c>
      <c r="K19" s="373">
        <v>0</v>
      </c>
      <c r="L19" s="373">
        <v>0</v>
      </c>
      <c r="M19" s="373">
        <v>0</v>
      </c>
      <c r="N19" s="373">
        <v>0</v>
      </c>
      <c r="O19" s="373">
        <v>0</v>
      </c>
      <c r="P19" s="373">
        <v>0</v>
      </c>
      <c r="Q19" s="373">
        <v>0</v>
      </c>
      <c r="R19" s="373">
        <v>0</v>
      </c>
      <c r="S19" s="373">
        <v>0</v>
      </c>
      <c r="T19" s="373">
        <v>0</v>
      </c>
      <c r="U19" s="373">
        <v>0</v>
      </c>
      <c r="V19" s="373">
        <v>0</v>
      </c>
      <c r="W19" s="373">
        <v>0</v>
      </c>
      <c r="X19" s="373">
        <v>0</v>
      </c>
      <c r="Y19" s="373">
        <v>0</v>
      </c>
      <c r="Z19" s="373">
        <v>0</v>
      </c>
      <c r="AA19" s="373">
        <v>0</v>
      </c>
      <c r="AB19" s="373">
        <v>0</v>
      </c>
      <c r="AC19" s="373">
        <v>0</v>
      </c>
      <c r="AD19" s="373">
        <v>0</v>
      </c>
      <c r="AE19" s="373">
        <v>0</v>
      </c>
      <c r="AF19" s="373">
        <v>0</v>
      </c>
      <c r="AG19" s="373">
        <v>0</v>
      </c>
      <c r="AH19" s="373">
        <v>0</v>
      </c>
      <c r="AI19" s="373">
        <v>0</v>
      </c>
      <c r="AJ19" s="373">
        <v>0</v>
      </c>
      <c r="AK19" s="416">
        <f>SUM(F19:AJ19)</f>
        <v>0</v>
      </c>
      <c r="AL19" s="408"/>
      <c r="AM19" s="219"/>
    </row>
    <row r="20" spans="1:39" ht="15" hidden="1" customHeight="1">
      <c r="A20" s="372"/>
      <c r="B20" s="976"/>
      <c r="C20" s="961"/>
      <c r="D20" s="963"/>
      <c r="E20" s="364" t="s">
        <v>97</v>
      </c>
      <c r="F20" s="373">
        <v>0</v>
      </c>
      <c r="G20" s="373">
        <v>0</v>
      </c>
      <c r="H20" s="373">
        <v>0</v>
      </c>
      <c r="I20" s="373">
        <v>0</v>
      </c>
      <c r="J20" s="373">
        <v>0</v>
      </c>
      <c r="K20" s="373">
        <v>0</v>
      </c>
      <c r="L20" s="373">
        <v>0</v>
      </c>
      <c r="M20" s="373">
        <v>0</v>
      </c>
      <c r="N20" s="373">
        <v>0</v>
      </c>
      <c r="O20" s="373">
        <v>0</v>
      </c>
      <c r="P20" s="373">
        <v>0</v>
      </c>
      <c r="Q20" s="373">
        <v>0</v>
      </c>
      <c r="R20" s="373">
        <v>0</v>
      </c>
      <c r="S20" s="373">
        <v>0</v>
      </c>
      <c r="T20" s="373">
        <v>0</v>
      </c>
      <c r="U20" s="373">
        <v>0</v>
      </c>
      <c r="V20" s="373">
        <v>0</v>
      </c>
      <c r="W20" s="373">
        <v>0</v>
      </c>
      <c r="X20" s="373">
        <v>0</v>
      </c>
      <c r="Y20" s="373">
        <v>0</v>
      </c>
      <c r="Z20" s="373">
        <v>0</v>
      </c>
      <c r="AA20" s="373">
        <v>0</v>
      </c>
      <c r="AB20" s="373">
        <v>0</v>
      </c>
      <c r="AC20" s="373">
        <v>0</v>
      </c>
      <c r="AD20" s="373">
        <v>0</v>
      </c>
      <c r="AE20" s="373">
        <v>0</v>
      </c>
      <c r="AF20" s="373">
        <v>0</v>
      </c>
      <c r="AG20" s="373">
        <v>0</v>
      </c>
      <c r="AH20" s="373">
        <v>0</v>
      </c>
      <c r="AI20" s="373">
        <v>0</v>
      </c>
      <c r="AJ20" s="373">
        <v>0</v>
      </c>
      <c r="AK20" s="417">
        <f>SUM(F20:AJ20)</f>
        <v>0</v>
      </c>
      <c r="AL20" s="408">
        <f>HLOOKUP(LEFT(Summary!D3,2),Actual!F3:AJ47,16,FALSE)</f>
        <v>0</v>
      </c>
      <c r="AM20" s="219"/>
    </row>
    <row r="21" spans="1:39" ht="15" hidden="1" customHeight="1">
      <c r="A21" s="372"/>
      <c r="B21" s="976"/>
      <c r="C21" s="964"/>
      <c r="D21" s="966"/>
      <c r="E21" s="376" t="s">
        <v>98</v>
      </c>
      <c r="F21" s="367">
        <f t="shared" ref="F21:AK21" si="3">SUM(F17:F20)</f>
        <v>0</v>
      </c>
      <c r="G21" s="367">
        <f t="shared" si="3"/>
        <v>0</v>
      </c>
      <c r="H21" s="367">
        <f t="shared" si="3"/>
        <v>0</v>
      </c>
      <c r="I21" s="367">
        <f t="shared" si="3"/>
        <v>0</v>
      </c>
      <c r="J21" s="367">
        <f t="shared" si="3"/>
        <v>0</v>
      </c>
      <c r="K21" s="367">
        <f t="shared" si="3"/>
        <v>0</v>
      </c>
      <c r="L21" s="367">
        <f t="shared" si="3"/>
        <v>0</v>
      </c>
      <c r="M21" s="367">
        <f t="shared" si="3"/>
        <v>0</v>
      </c>
      <c r="N21" s="367">
        <f t="shared" si="3"/>
        <v>0</v>
      </c>
      <c r="O21" s="367">
        <f t="shared" si="3"/>
        <v>0</v>
      </c>
      <c r="P21" s="367">
        <f t="shared" si="3"/>
        <v>0</v>
      </c>
      <c r="Q21" s="367">
        <f t="shared" si="3"/>
        <v>0</v>
      </c>
      <c r="R21" s="367">
        <f t="shared" si="3"/>
        <v>0</v>
      </c>
      <c r="S21" s="367">
        <f t="shared" si="3"/>
        <v>0</v>
      </c>
      <c r="T21" s="367">
        <f t="shared" si="3"/>
        <v>0</v>
      </c>
      <c r="U21" s="367">
        <f t="shared" si="3"/>
        <v>0</v>
      </c>
      <c r="V21" s="367">
        <f t="shared" si="3"/>
        <v>0</v>
      </c>
      <c r="W21" s="367">
        <f t="shared" si="3"/>
        <v>0</v>
      </c>
      <c r="X21" s="367">
        <f t="shared" si="3"/>
        <v>0</v>
      </c>
      <c r="Y21" s="367">
        <f t="shared" si="3"/>
        <v>0</v>
      </c>
      <c r="Z21" s="367">
        <f t="shared" si="3"/>
        <v>0</v>
      </c>
      <c r="AA21" s="367">
        <f t="shared" si="3"/>
        <v>0</v>
      </c>
      <c r="AB21" s="367">
        <f t="shared" si="3"/>
        <v>0</v>
      </c>
      <c r="AC21" s="367">
        <f t="shared" si="3"/>
        <v>0</v>
      </c>
      <c r="AD21" s="367">
        <f t="shared" si="3"/>
        <v>0</v>
      </c>
      <c r="AE21" s="367">
        <f t="shared" si="3"/>
        <v>0</v>
      </c>
      <c r="AF21" s="367">
        <f t="shared" si="3"/>
        <v>0</v>
      </c>
      <c r="AG21" s="367">
        <f t="shared" si="3"/>
        <v>0</v>
      </c>
      <c r="AH21" s="367">
        <f t="shared" si="3"/>
        <v>0</v>
      </c>
      <c r="AI21" s="367">
        <f t="shared" si="3"/>
        <v>0</v>
      </c>
      <c r="AJ21" s="367">
        <f t="shared" si="3"/>
        <v>0</v>
      </c>
      <c r="AK21" s="410">
        <f t="shared" si="3"/>
        <v>0</v>
      </c>
      <c r="AL21" s="408">
        <f>HLOOKUP(LEFT(Summary!D3,2),Actual!F3:AJ47,17,FALSE)</f>
        <v>0</v>
      </c>
      <c r="AM21" s="219"/>
    </row>
    <row r="22" spans="1:39" ht="14.25" hidden="1" customHeight="1">
      <c r="A22" s="372"/>
      <c r="B22" s="976"/>
      <c r="C22" s="958" t="s">
        <v>104</v>
      </c>
      <c r="D22" s="960"/>
      <c r="E22" s="361" t="s">
        <v>95</v>
      </c>
      <c r="F22" s="373">
        <v>0</v>
      </c>
      <c r="G22" s="373">
        <v>0</v>
      </c>
      <c r="H22" s="373">
        <v>0</v>
      </c>
      <c r="I22" s="373">
        <v>0</v>
      </c>
      <c r="J22" s="373">
        <v>0</v>
      </c>
      <c r="K22" s="373">
        <v>0</v>
      </c>
      <c r="L22" s="373">
        <v>0</v>
      </c>
      <c r="M22" s="373">
        <v>0</v>
      </c>
      <c r="N22" s="373">
        <v>0</v>
      </c>
      <c r="O22" s="373">
        <v>0</v>
      </c>
      <c r="P22" s="373">
        <v>0</v>
      </c>
      <c r="Q22" s="373">
        <v>0</v>
      </c>
      <c r="R22" s="373">
        <v>0</v>
      </c>
      <c r="S22" s="373">
        <v>0</v>
      </c>
      <c r="T22" s="373">
        <v>0</v>
      </c>
      <c r="U22" s="373">
        <v>0</v>
      </c>
      <c r="V22" s="373">
        <v>0</v>
      </c>
      <c r="W22" s="373">
        <v>0</v>
      </c>
      <c r="X22" s="373">
        <v>0</v>
      </c>
      <c r="Y22" s="373">
        <v>0</v>
      </c>
      <c r="Z22" s="373">
        <v>0</v>
      </c>
      <c r="AA22" s="373">
        <v>0</v>
      </c>
      <c r="AB22" s="373">
        <v>0</v>
      </c>
      <c r="AC22" s="373">
        <v>0</v>
      </c>
      <c r="AD22" s="373">
        <v>0</v>
      </c>
      <c r="AE22" s="373">
        <v>0</v>
      </c>
      <c r="AF22" s="373">
        <v>0</v>
      </c>
      <c r="AG22" s="373">
        <v>0</v>
      </c>
      <c r="AH22" s="373">
        <v>0</v>
      </c>
      <c r="AI22" s="373">
        <v>0</v>
      </c>
      <c r="AJ22" s="373">
        <v>0</v>
      </c>
      <c r="AK22" s="415">
        <f>SUM(F22:AJ22)</f>
        <v>0</v>
      </c>
      <c r="AL22" s="408">
        <f>HLOOKUP(LEFT(Summary!D3,2),Actual!F3:AJ47,18,FALSE)</f>
        <v>0</v>
      </c>
      <c r="AM22" s="219"/>
    </row>
    <row r="23" spans="1:39" ht="14.25" hidden="1" customHeight="1">
      <c r="A23" s="372"/>
      <c r="B23" s="976"/>
      <c r="C23" s="961"/>
      <c r="D23" s="963"/>
      <c r="E23" s="364" t="s">
        <v>96</v>
      </c>
      <c r="F23" s="373">
        <v>0</v>
      </c>
      <c r="G23" s="373">
        <v>0</v>
      </c>
      <c r="H23" s="373">
        <v>0</v>
      </c>
      <c r="I23" s="373">
        <v>0</v>
      </c>
      <c r="J23" s="373">
        <v>0</v>
      </c>
      <c r="K23" s="373">
        <v>0</v>
      </c>
      <c r="L23" s="373">
        <v>0</v>
      </c>
      <c r="M23" s="373">
        <v>0</v>
      </c>
      <c r="N23" s="373">
        <v>0</v>
      </c>
      <c r="O23" s="373">
        <v>0</v>
      </c>
      <c r="P23" s="373">
        <v>0</v>
      </c>
      <c r="Q23" s="373">
        <v>0</v>
      </c>
      <c r="R23" s="373">
        <v>0</v>
      </c>
      <c r="S23" s="373">
        <v>0</v>
      </c>
      <c r="T23" s="373">
        <v>0</v>
      </c>
      <c r="U23" s="373">
        <v>0</v>
      </c>
      <c r="V23" s="373">
        <v>0</v>
      </c>
      <c r="W23" s="373">
        <v>0</v>
      </c>
      <c r="X23" s="373">
        <v>0</v>
      </c>
      <c r="Y23" s="373">
        <v>0</v>
      </c>
      <c r="Z23" s="373">
        <v>0</v>
      </c>
      <c r="AA23" s="373">
        <v>0</v>
      </c>
      <c r="AB23" s="373">
        <v>0</v>
      </c>
      <c r="AC23" s="373">
        <v>0</v>
      </c>
      <c r="AD23" s="373">
        <v>0</v>
      </c>
      <c r="AE23" s="373">
        <v>0</v>
      </c>
      <c r="AF23" s="373">
        <v>0</v>
      </c>
      <c r="AG23" s="373">
        <v>0</v>
      </c>
      <c r="AH23" s="373">
        <v>0</v>
      </c>
      <c r="AI23" s="373">
        <v>0</v>
      </c>
      <c r="AJ23" s="373">
        <v>0</v>
      </c>
      <c r="AK23" s="416">
        <f>SUM(F23:AJ23)</f>
        <v>0</v>
      </c>
      <c r="AL23" s="408">
        <f>HLOOKUP(LEFT(Summary!D3,2),Actual!F3:AJ47,19,FALSE)</f>
        <v>0</v>
      </c>
      <c r="AM23" s="219"/>
    </row>
    <row r="24" spans="1:39" ht="14.25" hidden="1" customHeight="1">
      <c r="A24" s="372"/>
      <c r="B24" s="976"/>
      <c r="C24" s="961"/>
      <c r="D24" s="963"/>
      <c r="E24" s="364" t="s">
        <v>102</v>
      </c>
      <c r="F24" s="373">
        <v>0</v>
      </c>
      <c r="G24" s="373">
        <v>0</v>
      </c>
      <c r="H24" s="373">
        <v>0</v>
      </c>
      <c r="I24" s="373">
        <v>0</v>
      </c>
      <c r="J24" s="373">
        <v>0</v>
      </c>
      <c r="K24" s="373">
        <v>0</v>
      </c>
      <c r="L24" s="373">
        <v>0</v>
      </c>
      <c r="M24" s="373">
        <v>0</v>
      </c>
      <c r="N24" s="373">
        <v>0</v>
      </c>
      <c r="O24" s="373">
        <v>0</v>
      </c>
      <c r="P24" s="373">
        <v>0</v>
      </c>
      <c r="Q24" s="373">
        <v>0</v>
      </c>
      <c r="R24" s="373">
        <v>0</v>
      </c>
      <c r="S24" s="373">
        <v>0</v>
      </c>
      <c r="T24" s="373">
        <v>0</v>
      </c>
      <c r="U24" s="373">
        <v>0</v>
      </c>
      <c r="V24" s="373">
        <v>0</v>
      </c>
      <c r="W24" s="373">
        <v>0</v>
      </c>
      <c r="X24" s="373">
        <v>0</v>
      </c>
      <c r="Y24" s="373">
        <v>0</v>
      </c>
      <c r="Z24" s="373">
        <v>0</v>
      </c>
      <c r="AA24" s="373">
        <v>0</v>
      </c>
      <c r="AB24" s="373">
        <v>0</v>
      </c>
      <c r="AC24" s="373">
        <v>0</v>
      </c>
      <c r="AD24" s="373">
        <v>0</v>
      </c>
      <c r="AE24" s="373">
        <v>0</v>
      </c>
      <c r="AF24" s="373">
        <v>0</v>
      </c>
      <c r="AG24" s="373">
        <v>0</v>
      </c>
      <c r="AH24" s="373">
        <v>0</v>
      </c>
      <c r="AI24" s="373">
        <v>0</v>
      </c>
      <c r="AJ24" s="373">
        <v>0</v>
      </c>
      <c r="AK24" s="417">
        <f>SUM(F24:AJ24)</f>
        <v>0</v>
      </c>
      <c r="AL24" s="408">
        <f>HLOOKUP(LEFT(Summary!D3,2),Actual!F3:AJ47,20,FALSE)</f>
        <v>0</v>
      </c>
      <c r="AM24" s="219"/>
    </row>
    <row r="25" spans="1:39" ht="14.25" hidden="1" customHeight="1">
      <c r="A25" s="372"/>
      <c r="B25" s="976"/>
      <c r="C25" s="961"/>
      <c r="D25" s="963"/>
      <c r="E25" s="364" t="s">
        <v>97</v>
      </c>
      <c r="F25" s="373">
        <v>0</v>
      </c>
      <c r="G25" s="373">
        <v>0</v>
      </c>
      <c r="H25" s="373">
        <v>0</v>
      </c>
      <c r="I25" s="373">
        <v>0</v>
      </c>
      <c r="J25" s="373">
        <v>0</v>
      </c>
      <c r="K25" s="373">
        <v>0</v>
      </c>
      <c r="L25" s="373">
        <v>0</v>
      </c>
      <c r="M25" s="373">
        <v>0</v>
      </c>
      <c r="N25" s="373">
        <v>0</v>
      </c>
      <c r="O25" s="373">
        <v>0</v>
      </c>
      <c r="P25" s="373">
        <v>0</v>
      </c>
      <c r="Q25" s="373">
        <v>0</v>
      </c>
      <c r="R25" s="373">
        <v>0</v>
      </c>
      <c r="S25" s="373">
        <v>0</v>
      </c>
      <c r="T25" s="373">
        <v>0</v>
      </c>
      <c r="U25" s="373">
        <v>0</v>
      </c>
      <c r="V25" s="373">
        <v>0</v>
      </c>
      <c r="W25" s="373">
        <v>0</v>
      </c>
      <c r="X25" s="373">
        <v>0</v>
      </c>
      <c r="Y25" s="373">
        <v>0</v>
      </c>
      <c r="Z25" s="373">
        <v>0</v>
      </c>
      <c r="AA25" s="373">
        <v>0</v>
      </c>
      <c r="AB25" s="373">
        <v>0</v>
      </c>
      <c r="AC25" s="373">
        <v>0</v>
      </c>
      <c r="AD25" s="373">
        <v>0</v>
      </c>
      <c r="AE25" s="373">
        <v>0</v>
      </c>
      <c r="AF25" s="373">
        <v>0</v>
      </c>
      <c r="AG25" s="373">
        <v>0</v>
      </c>
      <c r="AH25" s="373">
        <v>0</v>
      </c>
      <c r="AI25" s="373">
        <v>0</v>
      </c>
      <c r="AJ25" s="373">
        <v>0</v>
      </c>
      <c r="AK25" s="417">
        <f>SUM(F25:AJ25)</f>
        <v>0</v>
      </c>
      <c r="AL25" s="408"/>
      <c r="AM25" s="219"/>
    </row>
    <row r="26" spans="1:39" ht="14.25" hidden="1" customHeight="1">
      <c r="A26" s="372"/>
      <c r="B26" s="976"/>
      <c r="C26" s="964"/>
      <c r="D26" s="966"/>
      <c r="E26" s="376" t="s">
        <v>105</v>
      </c>
      <c r="F26" s="377">
        <f t="shared" ref="F26:AJ26" si="4">SUM(F22:F25)</f>
        <v>0</v>
      </c>
      <c r="G26" s="377">
        <f t="shared" si="4"/>
        <v>0</v>
      </c>
      <c r="H26" s="377">
        <f t="shared" si="4"/>
        <v>0</v>
      </c>
      <c r="I26" s="377">
        <f t="shared" si="4"/>
        <v>0</v>
      </c>
      <c r="J26" s="377">
        <f t="shared" si="4"/>
        <v>0</v>
      </c>
      <c r="K26" s="377">
        <f t="shared" si="4"/>
        <v>0</v>
      </c>
      <c r="L26" s="377">
        <f t="shared" si="4"/>
        <v>0</v>
      </c>
      <c r="M26" s="377">
        <f t="shared" si="4"/>
        <v>0</v>
      </c>
      <c r="N26" s="377">
        <f t="shared" si="4"/>
        <v>0</v>
      </c>
      <c r="O26" s="377">
        <f t="shared" si="4"/>
        <v>0</v>
      </c>
      <c r="P26" s="377">
        <f t="shared" si="4"/>
        <v>0</v>
      </c>
      <c r="Q26" s="377">
        <f t="shared" si="4"/>
        <v>0</v>
      </c>
      <c r="R26" s="377">
        <f t="shared" si="4"/>
        <v>0</v>
      </c>
      <c r="S26" s="377">
        <f t="shared" si="4"/>
        <v>0</v>
      </c>
      <c r="T26" s="377">
        <f t="shared" si="4"/>
        <v>0</v>
      </c>
      <c r="U26" s="377">
        <f t="shared" si="4"/>
        <v>0</v>
      </c>
      <c r="V26" s="377">
        <f t="shared" si="4"/>
        <v>0</v>
      </c>
      <c r="W26" s="377">
        <f t="shared" si="4"/>
        <v>0</v>
      </c>
      <c r="X26" s="377">
        <f t="shared" si="4"/>
        <v>0</v>
      </c>
      <c r="Y26" s="377">
        <f t="shared" si="4"/>
        <v>0</v>
      </c>
      <c r="Z26" s="377">
        <f t="shared" si="4"/>
        <v>0</v>
      </c>
      <c r="AA26" s="377">
        <f t="shared" si="4"/>
        <v>0</v>
      </c>
      <c r="AB26" s="377">
        <f t="shared" si="4"/>
        <v>0</v>
      </c>
      <c r="AC26" s="377">
        <f t="shared" si="4"/>
        <v>0</v>
      </c>
      <c r="AD26" s="377">
        <f t="shared" si="4"/>
        <v>0</v>
      </c>
      <c r="AE26" s="377">
        <f t="shared" si="4"/>
        <v>0</v>
      </c>
      <c r="AF26" s="377">
        <f t="shared" si="4"/>
        <v>0</v>
      </c>
      <c r="AG26" s="377">
        <f t="shared" si="4"/>
        <v>0</v>
      </c>
      <c r="AH26" s="377">
        <f t="shared" si="4"/>
        <v>0</v>
      </c>
      <c r="AI26" s="377">
        <f t="shared" si="4"/>
        <v>0</v>
      </c>
      <c r="AJ26" s="377">
        <f t="shared" si="4"/>
        <v>0</v>
      </c>
      <c r="AK26" s="418">
        <f>SUM(AK22:AK24)</f>
        <v>0</v>
      </c>
      <c r="AL26" s="408">
        <f>HLOOKUP(LEFT(Summary!D3,2),Actual!F3:AJ47,21,FALSE)</f>
        <v>0</v>
      </c>
      <c r="AM26" s="219"/>
    </row>
    <row r="27" spans="1:39" ht="14.25" customHeight="1">
      <c r="A27" s="372"/>
      <c r="B27" s="976"/>
      <c r="C27" s="958" t="s">
        <v>730</v>
      </c>
      <c r="D27" s="960"/>
      <c r="E27" s="378" t="s">
        <v>106</v>
      </c>
      <c r="F27" s="379">
        <f>SUMIFS(OB_Act[Volume (BCM)],OB_Act[Day],Actual!F$3,OB_Act[Dump Area],"M4EW",OB_Act[Material],$E27)</f>
        <v>0</v>
      </c>
      <c r="G27" s="379">
        <f>SUMIFS(OB_Act[Volume (BCM)],OB_Act[Day],Actual!G$3,OB_Act[Dump Area],"M4EW",OB_Act[Material],$E27)</f>
        <v>513</v>
      </c>
      <c r="H27" s="379">
        <f>SUMIFS(OB_Act[Volume (BCM)],OB_Act[Day],Actual!H$3,OB_Act[Dump Area],"M4EW",OB_Act[Material],$E27)</f>
        <v>999</v>
      </c>
      <c r="I27" s="379">
        <f>SUMIFS(OB_Act[Volume (BCM)],OB_Act[Day],Actual!I$3,OB_Act[Dump Area],"M4EW",OB_Act[Material],$E27)</f>
        <v>877.5</v>
      </c>
      <c r="J27" s="379">
        <f>SUMIFS(OB_Act[Volume (BCM)],OB_Act[Day],Actual!J$3,OB_Act[Dump Area],"M4EW",OB_Act[Material],$E27)</f>
        <v>1147.5</v>
      </c>
      <c r="K27" s="379">
        <f>SUMIFS(OB_Act[Volume (BCM)],OB_Act[Day],Actual!K$3,OB_Act[Dump Area],"M4EW",OB_Act[Material],$E27)</f>
        <v>0</v>
      </c>
      <c r="L27" s="379">
        <f>SUMIFS(OB_Act[Volume (BCM)],OB_Act[Day],Actual!L$3,OB_Act[Dump Area],"M4EW",OB_Act[Material],$E27)</f>
        <v>1174.5</v>
      </c>
      <c r="M27" s="379">
        <f>SUMIFS(OB_Act[Volume (BCM)],OB_Act[Day],Actual!M$3,OB_Act[Dump Area],"M4EW",OB_Act[Material],$E27)</f>
        <v>0</v>
      </c>
      <c r="N27" s="379">
        <f>SUMIFS(OB_Act[Volume (BCM)],OB_Act[Day],Actual!N$3,OB_Act[Dump Area],"M4EW",OB_Act[Material],$E27)</f>
        <v>0</v>
      </c>
      <c r="O27" s="379">
        <f>SUMIFS(OB_Act[Volume (BCM)],OB_Act[Day],Actual!O$3,OB_Act[Dump Area],"M4EW",OB_Act[Material],$E27)</f>
        <v>0</v>
      </c>
      <c r="P27" s="379">
        <f>SUMIFS(OB_Act[Volume (BCM)],OB_Act[Day],Actual!P$3,OB_Act[Dump Area],"M4EW",OB_Act[Material],$E27)</f>
        <v>0</v>
      </c>
      <c r="Q27" s="379">
        <f>SUMIFS(OB_Act[Volume (BCM)],OB_Act[Day],Actual!Q$3,OB_Act[Dump Area],"M4EW",OB_Act[Material],$E27)</f>
        <v>0</v>
      </c>
      <c r="R27" s="379">
        <f>SUMIFS(OB_Act[Volume (BCM)],OB_Act[Day],Actual!R$3,OB_Act[Dump Area],"M4EW",OB_Act[Material],$E27)</f>
        <v>0</v>
      </c>
      <c r="S27" s="379">
        <f>SUMIFS(OB_Act[Volume (BCM)],OB_Act[Day],Actual!S$3,OB_Act[Dump Area],"M4EW",OB_Act[Material],$E27)</f>
        <v>0</v>
      </c>
      <c r="T27" s="379">
        <f>SUMIFS(OB_Act[Volume (BCM)],OB_Act[Day],Actual!T$3,OB_Act[Dump Area],"M4EW",OB_Act[Material],$E27)</f>
        <v>0</v>
      </c>
      <c r="U27" s="379">
        <f>SUMIFS(OB_Act[Volume (BCM)],OB_Act[Day],Actual!U$3,OB_Act[Dump Area],"M4EW",OB_Act[Material],$E27)</f>
        <v>0</v>
      </c>
      <c r="V27" s="379">
        <f>SUMIFS(OB_Act[Volume (BCM)],OB_Act[Day],Actual!V$3,OB_Act[Dump Area],"M4EW",OB_Act[Material],$E27)</f>
        <v>0</v>
      </c>
      <c r="W27" s="379">
        <f>SUMIFS(OB_Act[Volume (BCM)],OB_Act[Day],Actual!W$3,OB_Act[Dump Area],"M4EW",OB_Act[Material],$E27)</f>
        <v>0</v>
      </c>
      <c r="X27" s="379">
        <f>SUMIFS(OB_Act[Volume (BCM)],OB_Act[Day],Actual!X$3,OB_Act[Dump Area],"M4EW",OB_Act[Material],$E27)</f>
        <v>0</v>
      </c>
      <c r="Y27" s="379">
        <f>SUMIFS(OB_Act[Volume (BCM)],OB_Act[Day],Actual!Y$3,OB_Act[Dump Area],"M4EW",OB_Act[Material],$E27)</f>
        <v>0</v>
      </c>
      <c r="Z27" s="379">
        <f>SUMIFS(OB_Act[Volume (BCM)],OB_Act[Day],Actual!Z$3,OB_Act[Dump Area],"M4EW",OB_Act[Material],$E27)</f>
        <v>0</v>
      </c>
      <c r="AA27" s="379">
        <f>SUMIFS(OB_Act[Volume (BCM)],OB_Act[Day],Actual!AA$3,OB_Act[Dump Area],"M4EW",OB_Act[Material],$E27)</f>
        <v>0</v>
      </c>
      <c r="AB27" s="379">
        <f>SUMIFS(OB_Act[Volume (BCM)],OB_Act[Day],Actual!AB$3,OB_Act[Dump Area],"M4EW",OB_Act[Material],$E27)</f>
        <v>0</v>
      </c>
      <c r="AC27" s="379">
        <f>SUMIFS(OB_Act[Volume (BCM)],OB_Act[Day],Actual!AC$3,OB_Act[Dump Area],"M4EW",OB_Act[Material],$E27)</f>
        <v>0</v>
      </c>
      <c r="AD27" s="379">
        <f>SUMIFS(OB_Act[Volume (BCM)],OB_Act[Day],Actual!AD$3,OB_Act[Dump Area],"M4EW",OB_Act[Material],$E27)</f>
        <v>0</v>
      </c>
      <c r="AE27" s="379">
        <f>SUMIFS(OB_Act[Volume (BCM)],OB_Act[Day],Actual!AE$3,OB_Act[Dump Area],"M4EW",OB_Act[Material],$E27)</f>
        <v>0</v>
      </c>
      <c r="AF27" s="379">
        <f>SUMIFS(OB_Act[Volume (BCM)],OB_Act[Day],Actual!AF$3,OB_Act[Dump Area],"M4EW",OB_Act[Material],$E27)</f>
        <v>0</v>
      </c>
      <c r="AG27" s="379">
        <f>SUMIFS(OB_Act[Volume (BCM)],OB_Act[Day],Actual!AG$3,OB_Act[Dump Area],"M4EW",OB_Act[Material],$E27)</f>
        <v>0</v>
      </c>
      <c r="AH27" s="379">
        <f>SUMIFS(OB_Act[Volume (BCM)],OB_Act[Day],Actual!AH$3,OB_Act[Dump Area],"M4EW",OB_Act[Material],$E27)</f>
        <v>0</v>
      </c>
      <c r="AI27" s="379">
        <f>SUMIFS(OB_Act[Volume (BCM)],OB_Act[Day],Actual!AI$3,OB_Act[Dump Area],"M4EW",OB_Act[Material],$E27)</f>
        <v>0</v>
      </c>
      <c r="AJ27" s="379">
        <f>SUMIFS(OB_Act[Volume (BCM)],OB_Act[Day],Actual!AJ$3,OB_Act[Dump Area],"M4EW",OB_Act[Material],$E27)</f>
        <v>0</v>
      </c>
      <c r="AK27" s="415">
        <f>SUM(F27:AJ27)</f>
        <v>4711.5</v>
      </c>
      <c r="AL27" s="408">
        <f>HLOOKUP(LEFT(Summary!D3,2),Actual!F3:AJ47,22,FALSE)</f>
        <v>0</v>
      </c>
      <c r="AM27" s="219"/>
    </row>
    <row r="28" spans="1:39" ht="14.25" customHeight="1">
      <c r="A28" s="372"/>
      <c r="B28" s="976"/>
      <c r="C28" s="961"/>
      <c r="D28" s="963"/>
      <c r="E28" s="364" t="s">
        <v>107</v>
      </c>
      <c r="F28" s="379">
        <f>SUMIFS(OB_Act[Volume (BCM)],OB_Act[Day],Actual!F$3,OB_Act[Dump Area],"M4EW",OB_Act[Material],$E28)</f>
        <v>0</v>
      </c>
      <c r="G28" s="379">
        <f>SUMIFS(OB_Act[Volume (BCM)],OB_Act[Day],Actual!G$3,OB_Act[Dump Area],"M4EW",OB_Act[Material],$E28)</f>
        <v>0</v>
      </c>
      <c r="H28" s="379">
        <f>SUMIFS(OB_Act[Volume (BCM)],OB_Act[Day],Actual!H$3,OB_Act[Dump Area],"M4EW",OB_Act[Material],$E28)</f>
        <v>0</v>
      </c>
      <c r="I28" s="379">
        <f>SUMIFS(OB_Act[Volume (BCM)],OB_Act[Day],Actual!I$3,OB_Act[Dump Area],"M4EW",OB_Act[Material],$E28)</f>
        <v>0</v>
      </c>
      <c r="J28" s="379">
        <f>SUMIFS(OB_Act[Volume (BCM)],OB_Act[Day],Actual!J$3,OB_Act[Dump Area],"M4EW",OB_Act[Material],$E28)</f>
        <v>0</v>
      </c>
      <c r="K28" s="379">
        <f>SUMIFS(OB_Act[Volume (BCM)],OB_Act[Day],Actual!K$3,OB_Act[Dump Area],"M4EW",OB_Act[Material],$E28)</f>
        <v>0</v>
      </c>
      <c r="L28" s="379">
        <f>SUMIFS(OB_Act[Volume (BCM)],OB_Act[Day],Actual!L$3,OB_Act[Dump Area],"M4EW",OB_Act[Material],$E28)</f>
        <v>0</v>
      </c>
      <c r="M28" s="379">
        <f>SUMIFS(OB_Act[Volume (BCM)],OB_Act[Day],Actual!M$3,OB_Act[Dump Area],"M4EW",OB_Act[Material],$E28)</f>
        <v>0</v>
      </c>
      <c r="N28" s="379">
        <f>SUMIFS(OB_Act[Volume (BCM)],OB_Act[Day],Actual!N$3,OB_Act[Dump Area],"M4EW",OB_Act[Material],$E28)</f>
        <v>0</v>
      </c>
      <c r="O28" s="379">
        <f>SUMIFS(OB_Act[Volume (BCM)],OB_Act[Day],Actual!O$3,OB_Act[Dump Area],"M4EW",OB_Act[Material],$E28)</f>
        <v>0</v>
      </c>
      <c r="P28" s="379">
        <f>SUMIFS(OB_Act[Volume (BCM)],OB_Act[Day],Actual!P$3,OB_Act[Dump Area],"M4EW",OB_Act[Material],$E28)</f>
        <v>0</v>
      </c>
      <c r="Q28" s="379">
        <f>SUMIFS(OB_Act[Volume (BCM)],OB_Act[Day],Actual!Q$3,OB_Act[Dump Area],"M4EW",OB_Act[Material],$E28)</f>
        <v>0</v>
      </c>
      <c r="R28" s="379">
        <f>SUMIFS(OB_Act[Volume (BCM)],OB_Act[Day],Actual!R$3,OB_Act[Dump Area],"M4EW",OB_Act[Material],$E28)</f>
        <v>0</v>
      </c>
      <c r="S28" s="379">
        <f>SUMIFS(OB_Act[Volume (BCM)],OB_Act[Day],Actual!S$3,OB_Act[Dump Area],"M4EW",OB_Act[Material],$E28)</f>
        <v>0</v>
      </c>
      <c r="T28" s="379">
        <f>SUMIFS(OB_Act[Volume (BCM)],OB_Act[Day],Actual!T$3,OB_Act[Dump Area],"M4EW",OB_Act[Material],$E28)</f>
        <v>0</v>
      </c>
      <c r="U28" s="379">
        <f>SUMIFS(OB_Act[Volume (BCM)],OB_Act[Day],Actual!U$3,OB_Act[Dump Area],"M4EW",OB_Act[Material],$E28)</f>
        <v>0</v>
      </c>
      <c r="V28" s="379">
        <f>SUMIFS(OB_Act[Volume (BCM)],OB_Act[Day],Actual!V$3,OB_Act[Dump Area],"M4EW",OB_Act[Material],$E28)</f>
        <v>0</v>
      </c>
      <c r="W28" s="379">
        <f>SUMIFS(OB_Act[Volume (BCM)],OB_Act[Day],Actual!W$3,OB_Act[Dump Area],"M4EW",OB_Act[Material],$E28)</f>
        <v>0</v>
      </c>
      <c r="X28" s="379">
        <f>SUMIFS(OB_Act[Volume (BCM)],OB_Act[Day],Actual!X$3,OB_Act[Dump Area],"M4EW",OB_Act[Material],$E28)</f>
        <v>0</v>
      </c>
      <c r="Y28" s="379">
        <f>SUMIFS(OB_Act[Volume (BCM)],OB_Act[Day],Actual!Y$3,OB_Act[Dump Area],"M4EW",OB_Act[Material],$E28)</f>
        <v>0</v>
      </c>
      <c r="Z28" s="379">
        <f>SUMIFS(OB_Act[Volume (BCM)],OB_Act[Day],Actual!Z$3,OB_Act[Dump Area],"M4EW",OB_Act[Material],$E28)</f>
        <v>0</v>
      </c>
      <c r="AA28" s="379">
        <f>SUMIFS(OB_Act[Volume (BCM)],OB_Act[Day],Actual!AA$3,OB_Act[Dump Area],"M4EW",OB_Act[Material],$E28)</f>
        <v>0</v>
      </c>
      <c r="AB28" s="379">
        <f>SUMIFS(OB_Act[Volume (BCM)],OB_Act[Day],Actual!AB$3,OB_Act[Dump Area],"M4EW",OB_Act[Material],$E28)</f>
        <v>0</v>
      </c>
      <c r="AC28" s="379">
        <f>SUMIFS(OB_Act[Volume (BCM)],OB_Act[Day],Actual!AC$3,OB_Act[Dump Area],"M4EW",OB_Act[Material],$E28)</f>
        <v>0</v>
      </c>
      <c r="AD28" s="379">
        <f>SUMIFS(OB_Act[Volume (BCM)],OB_Act[Day],Actual!AD$3,OB_Act[Dump Area],"M4EW",OB_Act[Material],$E28)</f>
        <v>0</v>
      </c>
      <c r="AE28" s="379">
        <f>SUMIFS(OB_Act[Volume (BCM)],OB_Act[Day],Actual!AE$3,OB_Act[Dump Area],"M4EW",OB_Act[Material],$E28)</f>
        <v>0</v>
      </c>
      <c r="AF28" s="379">
        <f>SUMIFS(OB_Act[Volume (BCM)],OB_Act[Day],Actual!AF$3,OB_Act[Dump Area],"M4EW",OB_Act[Material],$E28)</f>
        <v>0</v>
      </c>
      <c r="AG28" s="379">
        <f>SUMIFS(OB_Act[Volume (BCM)],OB_Act[Day],Actual!AG$3,OB_Act[Dump Area],"M4EW",OB_Act[Material],$E28)</f>
        <v>0</v>
      </c>
      <c r="AH28" s="379">
        <f>SUMIFS(OB_Act[Volume (BCM)],OB_Act[Day],Actual!AH$3,OB_Act[Dump Area],"M4EW",OB_Act[Material],$E28)</f>
        <v>0</v>
      </c>
      <c r="AI28" s="379">
        <f>SUMIFS(OB_Act[Volume (BCM)],OB_Act[Day],Actual!AI$3,OB_Act[Dump Area],"M4EW",OB_Act[Material],$E28)</f>
        <v>0</v>
      </c>
      <c r="AJ28" s="379">
        <f>SUMIFS(OB_Act[Volume (BCM)],OB_Act[Day],Actual!AJ$3,OB_Act[Dump Area],"M4EW",OB_Act[Material],$E28)</f>
        <v>0</v>
      </c>
      <c r="AK28" s="416">
        <f>SUM(F28:AJ28)</f>
        <v>0</v>
      </c>
      <c r="AL28" s="408">
        <f>HLOOKUP(LEFT(Summary!D3,2),Actual!F3:AJ47,23,FALSE)</f>
        <v>0</v>
      </c>
      <c r="AM28" s="219"/>
    </row>
    <row r="29" spans="1:39" ht="14.25" customHeight="1">
      <c r="A29" s="372"/>
      <c r="B29" s="976"/>
      <c r="C29" s="961"/>
      <c r="D29" s="963"/>
      <c r="E29" s="364" t="s">
        <v>108</v>
      </c>
      <c r="F29" s="379">
        <f>SUMIFS(OB_Act[Volume (BCM)],OB_Act[Day],Actual!F$3,OB_Act[Dump Area],"M4EW",OB_Act[Material],$E29)</f>
        <v>0</v>
      </c>
      <c r="G29" s="379">
        <f>SUMIFS(OB_Act[Volume (BCM)],OB_Act[Day],Actual!G$3,OB_Act[Dump Area],"M4EW",OB_Act[Material],$E29)</f>
        <v>0</v>
      </c>
      <c r="H29" s="379">
        <f>SUMIFS(OB_Act[Volume (BCM)],OB_Act[Day],Actual!H$3,OB_Act[Dump Area],"M4EW",OB_Act[Material],$E29)</f>
        <v>0</v>
      </c>
      <c r="I29" s="379">
        <f>SUMIFS(OB_Act[Volume (BCM)],OB_Act[Day],Actual!I$3,OB_Act[Dump Area],"M4EW",OB_Act[Material],$E29)</f>
        <v>0</v>
      </c>
      <c r="J29" s="379">
        <f>SUMIFS(OB_Act[Volume (BCM)],OB_Act[Day],Actual!J$3,OB_Act[Dump Area],"M4EW",OB_Act[Material],$E29)</f>
        <v>0</v>
      </c>
      <c r="K29" s="379">
        <f>SUMIFS(OB_Act[Volume (BCM)],OB_Act[Day],Actual!K$3,OB_Act[Dump Area],"M4EW",OB_Act[Material],$E29)</f>
        <v>0</v>
      </c>
      <c r="L29" s="379">
        <f>SUMIFS(OB_Act[Volume (BCM)],OB_Act[Day],Actual!L$3,OB_Act[Dump Area],"M4EW",OB_Act[Material],$E29)</f>
        <v>0</v>
      </c>
      <c r="M29" s="379">
        <f>SUMIFS(OB_Act[Volume (BCM)],OB_Act[Day],Actual!M$3,OB_Act[Dump Area],"M4EW",OB_Act[Material],$E29)</f>
        <v>0</v>
      </c>
      <c r="N29" s="379">
        <f>SUMIFS(OB_Act[Volume (BCM)],OB_Act[Day],Actual!N$3,OB_Act[Dump Area],"M4EW",OB_Act[Material],$E29)</f>
        <v>0</v>
      </c>
      <c r="O29" s="379">
        <f>SUMIFS(OB_Act[Volume (BCM)],OB_Act[Day],Actual!O$3,OB_Act[Dump Area],"M4EW",OB_Act[Material],$E29)</f>
        <v>0</v>
      </c>
      <c r="P29" s="379">
        <f>SUMIFS(OB_Act[Volume (BCM)],OB_Act[Day],Actual!P$3,OB_Act[Dump Area],"M4EW",OB_Act[Material],$E29)</f>
        <v>0</v>
      </c>
      <c r="Q29" s="379">
        <f>SUMIFS(OB_Act[Volume (BCM)],OB_Act[Day],Actual!Q$3,OB_Act[Dump Area],"M4EW",OB_Act[Material],$E29)</f>
        <v>0</v>
      </c>
      <c r="R29" s="379">
        <f>SUMIFS(OB_Act[Volume (BCM)],OB_Act[Day],Actual!R$3,OB_Act[Dump Area],"M4EW",OB_Act[Material],$E29)</f>
        <v>0</v>
      </c>
      <c r="S29" s="379">
        <f>SUMIFS(OB_Act[Volume (BCM)],OB_Act[Day],Actual!S$3,OB_Act[Dump Area],"M4EW",OB_Act[Material],$E29)</f>
        <v>0</v>
      </c>
      <c r="T29" s="379">
        <f>SUMIFS(OB_Act[Volume (BCM)],OB_Act[Day],Actual!T$3,OB_Act[Dump Area],"M4EW",OB_Act[Material],$E29)</f>
        <v>0</v>
      </c>
      <c r="U29" s="379">
        <f>SUMIFS(OB_Act[Volume (BCM)],OB_Act[Day],Actual!U$3,OB_Act[Dump Area],"M4EW",OB_Act[Material],$E29)</f>
        <v>0</v>
      </c>
      <c r="V29" s="379">
        <f>SUMIFS(OB_Act[Volume (BCM)],OB_Act[Day],Actual!V$3,OB_Act[Dump Area],"M4EW",OB_Act[Material],$E29)</f>
        <v>0</v>
      </c>
      <c r="W29" s="379">
        <f>SUMIFS(OB_Act[Volume (BCM)],OB_Act[Day],Actual!W$3,OB_Act[Dump Area],"M4EW",OB_Act[Material],$E29)</f>
        <v>0</v>
      </c>
      <c r="X29" s="379">
        <f>SUMIFS(OB_Act[Volume (BCM)],OB_Act[Day],Actual!X$3,OB_Act[Dump Area],"M4EW",OB_Act[Material],$E29)</f>
        <v>0</v>
      </c>
      <c r="Y29" s="379">
        <f>SUMIFS(OB_Act[Volume (BCM)],OB_Act[Day],Actual!Y$3,OB_Act[Dump Area],"M4EW",OB_Act[Material],$E29)</f>
        <v>0</v>
      </c>
      <c r="Z29" s="379">
        <f>SUMIFS(OB_Act[Volume (BCM)],OB_Act[Day],Actual!Z$3,OB_Act[Dump Area],"M4EW",OB_Act[Material],$E29)</f>
        <v>0</v>
      </c>
      <c r="AA29" s="379">
        <f>SUMIFS(OB_Act[Volume (BCM)],OB_Act[Day],Actual!AA$3,OB_Act[Dump Area],"M4EW",OB_Act[Material],$E29)</f>
        <v>0</v>
      </c>
      <c r="AB29" s="379">
        <f>SUMIFS(OB_Act[Volume (BCM)],OB_Act[Day],Actual!AB$3,OB_Act[Dump Area],"M4EW",OB_Act[Material],$E29)</f>
        <v>0</v>
      </c>
      <c r="AC29" s="379">
        <f>SUMIFS(OB_Act[Volume (BCM)],OB_Act[Day],Actual!AC$3,OB_Act[Dump Area],"M4EW",OB_Act[Material],$E29)</f>
        <v>0</v>
      </c>
      <c r="AD29" s="379">
        <f>SUMIFS(OB_Act[Volume (BCM)],OB_Act[Day],Actual!AD$3,OB_Act[Dump Area],"M4EW",OB_Act[Material],$E29)</f>
        <v>0</v>
      </c>
      <c r="AE29" s="379">
        <f>SUMIFS(OB_Act[Volume (BCM)],OB_Act[Day],Actual!AE$3,OB_Act[Dump Area],"M4EW",OB_Act[Material],$E29)</f>
        <v>0</v>
      </c>
      <c r="AF29" s="379">
        <f>SUMIFS(OB_Act[Volume (BCM)],OB_Act[Day],Actual!AF$3,OB_Act[Dump Area],"M4EW",OB_Act[Material],$E29)</f>
        <v>0</v>
      </c>
      <c r="AG29" s="379">
        <f>SUMIFS(OB_Act[Volume (BCM)],OB_Act[Day],Actual!AG$3,OB_Act[Dump Area],"M4EW",OB_Act[Material],$E29)</f>
        <v>0</v>
      </c>
      <c r="AH29" s="379">
        <f>SUMIFS(OB_Act[Volume (BCM)],OB_Act[Day],Actual!AH$3,OB_Act[Dump Area],"M4EW",OB_Act[Material],$E29)</f>
        <v>0</v>
      </c>
      <c r="AI29" s="379">
        <f>SUMIFS(OB_Act[Volume (BCM)],OB_Act[Day],Actual!AI$3,OB_Act[Dump Area],"M4EW",OB_Act[Material],$E29)</f>
        <v>0</v>
      </c>
      <c r="AJ29" s="379">
        <f>SUMIFS(OB_Act[Volume (BCM)],OB_Act[Day],Actual!AJ$3,OB_Act[Dump Area],"M4EW",OB_Act[Material],$E29)</f>
        <v>0</v>
      </c>
      <c r="AK29" s="416">
        <f>SUM(F29:AJ29)</f>
        <v>0</v>
      </c>
      <c r="AL29" s="408"/>
      <c r="AM29" s="219"/>
    </row>
    <row r="30" spans="1:39" ht="14.25" customHeight="1">
      <c r="A30" s="372"/>
      <c r="B30" s="976"/>
      <c r="C30" s="961"/>
      <c r="D30" s="963"/>
      <c r="E30" s="364" t="s">
        <v>109</v>
      </c>
      <c r="F30" s="379">
        <f>SUMIFS(OB_Act[Volume (BCM)],OB_Act[Day],Actual!F$3,OB_Act[Dump Area],"M4EW",OB_Act[Material],$E30)</f>
        <v>0</v>
      </c>
      <c r="G30" s="379">
        <f>SUMIFS(OB_Act[Volume (BCM)],OB_Act[Day],Actual!G$3,OB_Act[Dump Area],"M4EW",OB_Act[Material],$E30)</f>
        <v>0</v>
      </c>
      <c r="H30" s="379">
        <f>SUMIFS(OB_Act[Volume (BCM)],OB_Act[Day],Actual!H$3,OB_Act[Dump Area],"M4EW",OB_Act[Material],$E30)</f>
        <v>0</v>
      </c>
      <c r="I30" s="379">
        <f>SUMIFS(OB_Act[Volume (BCM)],OB_Act[Day],Actual!I$3,OB_Act[Dump Area],"M4EW",OB_Act[Material],$E30)</f>
        <v>0</v>
      </c>
      <c r="J30" s="379">
        <f>SUMIFS(OB_Act[Volume (BCM)],OB_Act[Day],Actual!J$3,OB_Act[Dump Area],"M4EW",OB_Act[Material],$E30)</f>
        <v>0</v>
      </c>
      <c r="K30" s="379">
        <f>SUMIFS(OB_Act[Volume (BCM)],OB_Act[Day],Actual!K$3,OB_Act[Dump Area],"M4EW",OB_Act[Material],$E30)</f>
        <v>0</v>
      </c>
      <c r="L30" s="379">
        <f>SUMIFS(OB_Act[Volume (BCM)],OB_Act[Day],Actual!L$3,OB_Act[Dump Area],"M4EW",OB_Act[Material],$E30)</f>
        <v>0</v>
      </c>
      <c r="M30" s="379">
        <f>SUMIFS(OB_Act[Volume (BCM)],OB_Act[Day],Actual!M$3,OB_Act[Dump Area],"M4EW",OB_Act[Material],$E30)</f>
        <v>0</v>
      </c>
      <c r="N30" s="379">
        <f>SUMIFS(OB_Act[Volume (BCM)],OB_Act[Day],Actual!N$3,OB_Act[Dump Area],"M4EW",OB_Act[Material],$E30)</f>
        <v>0</v>
      </c>
      <c r="O30" s="379">
        <f>SUMIFS(OB_Act[Volume (BCM)],OB_Act[Day],Actual!O$3,OB_Act[Dump Area],"M4EW",OB_Act[Material],$E30)</f>
        <v>0</v>
      </c>
      <c r="P30" s="379">
        <f>SUMIFS(OB_Act[Volume (BCM)],OB_Act[Day],Actual!P$3,OB_Act[Dump Area],"M4EW",OB_Act[Material],$E30)</f>
        <v>0</v>
      </c>
      <c r="Q30" s="379">
        <f>SUMIFS(OB_Act[Volume (BCM)],OB_Act[Day],Actual!Q$3,OB_Act[Dump Area],"M4EW",OB_Act[Material],$E30)</f>
        <v>0</v>
      </c>
      <c r="R30" s="379">
        <f>SUMIFS(OB_Act[Volume (BCM)],OB_Act[Day],Actual!R$3,OB_Act[Dump Area],"M4EW",OB_Act[Material],$E30)</f>
        <v>0</v>
      </c>
      <c r="S30" s="379">
        <f>SUMIFS(OB_Act[Volume (BCM)],OB_Act[Day],Actual!S$3,OB_Act[Dump Area],"M4EW",OB_Act[Material],$E30)</f>
        <v>0</v>
      </c>
      <c r="T30" s="379">
        <f>SUMIFS(OB_Act[Volume (BCM)],OB_Act[Day],Actual!T$3,OB_Act[Dump Area],"M4EW",OB_Act[Material],$E30)</f>
        <v>0</v>
      </c>
      <c r="U30" s="379">
        <f>SUMIFS(OB_Act[Volume (BCM)],OB_Act[Day],Actual!U$3,OB_Act[Dump Area],"M4EW",OB_Act[Material],$E30)</f>
        <v>0</v>
      </c>
      <c r="V30" s="379">
        <f>SUMIFS(OB_Act[Volume (BCM)],OB_Act[Day],Actual!V$3,OB_Act[Dump Area],"M4EW",OB_Act[Material],$E30)</f>
        <v>0</v>
      </c>
      <c r="W30" s="379">
        <f>SUMIFS(OB_Act[Volume (BCM)],OB_Act[Day],Actual!W$3,OB_Act[Dump Area],"M4EW",OB_Act[Material],$E30)</f>
        <v>0</v>
      </c>
      <c r="X30" s="379">
        <f>SUMIFS(OB_Act[Volume (BCM)],OB_Act[Day],Actual!X$3,OB_Act[Dump Area],"M4EW",OB_Act[Material],$E30)</f>
        <v>0</v>
      </c>
      <c r="Y30" s="379">
        <f>SUMIFS(OB_Act[Volume (BCM)],OB_Act[Day],Actual!Y$3,OB_Act[Dump Area],"M4EW",OB_Act[Material],$E30)</f>
        <v>0</v>
      </c>
      <c r="Z30" s="379">
        <f>SUMIFS(OB_Act[Volume (BCM)],OB_Act[Day],Actual!Z$3,OB_Act[Dump Area],"M4EW",OB_Act[Material],$E30)</f>
        <v>0</v>
      </c>
      <c r="AA30" s="379">
        <f>SUMIFS(OB_Act[Volume (BCM)],OB_Act[Day],Actual!AA$3,OB_Act[Dump Area],"M4EW",OB_Act[Material],$E30)</f>
        <v>0</v>
      </c>
      <c r="AB30" s="379">
        <f>SUMIFS(OB_Act[Volume (BCM)],OB_Act[Day],Actual!AB$3,OB_Act[Dump Area],"M4EW",OB_Act[Material],$E30)</f>
        <v>0</v>
      </c>
      <c r="AC30" s="379">
        <f>SUMIFS(OB_Act[Volume (BCM)],OB_Act[Day],Actual!AC$3,OB_Act[Dump Area],"M4EW",OB_Act[Material],$E30)</f>
        <v>0</v>
      </c>
      <c r="AD30" s="379">
        <f>SUMIFS(OB_Act[Volume (BCM)],OB_Act[Day],Actual!AD$3,OB_Act[Dump Area],"M4EW",OB_Act[Material],$E30)</f>
        <v>0</v>
      </c>
      <c r="AE30" s="379">
        <f>SUMIFS(OB_Act[Volume (BCM)],OB_Act[Day],Actual!AE$3,OB_Act[Dump Area],"M4EW",OB_Act[Material],$E30)</f>
        <v>0</v>
      </c>
      <c r="AF30" s="379">
        <f>SUMIFS(OB_Act[Volume (BCM)],OB_Act[Day],Actual!AF$3,OB_Act[Dump Area],"M4EW",OB_Act[Material],$E30)</f>
        <v>0</v>
      </c>
      <c r="AG30" s="379">
        <f>SUMIFS(OB_Act[Volume (BCM)],OB_Act[Day],Actual!AG$3,OB_Act[Dump Area],"M4EW",OB_Act[Material],$E30)</f>
        <v>0</v>
      </c>
      <c r="AH30" s="379">
        <f>SUMIFS(OB_Act[Volume (BCM)],OB_Act[Day],Actual!AH$3,OB_Act[Dump Area],"M4EW",OB_Act[Material],$E30)</f>
        <v>0</v>
      </c>
      <c r="AI30" s="379">
        <f>SUMIFS(OB_Act[Volume (BCM)],OB_Act[Day],Actual!AI$3,OB_Act[Dump Area],"M4EW",OB_Act[Material],$E30)</f>
        <v>0</v>
      </c>
      <c r="AJ30" s="379">
        <f>SUMIFS(OB_Act[Volume (BCM)],OB_Act[Day],Actual!AJ$3,OB_Act[Dump Area],"M4EW",OB_Act[Material],$E30)</f>
        <v>0</v>
      </c>
      <c r="AK30" s="416">
        <f>SUM(F30:AJ30)</f>
        <v>0</v>
      </c>
      <c r="AL30" s="408">
        <f>HLOOKUP(LEFT(Summary!D3,2),Actual!F3:AJ47,24,FALSE)</f>
        <v>0</v>
      </c>
      <c r="AM30" s="219"/>
    </row>
    <row r="31" spans="1:39" ht="13.95" customHeight="1">
      <c r="A31" s="372"/>
      <c r="B31" s="976"/>
      <c r="C31" s="964"/>
      <c r="D31" s="966"/>
      <c r="E31" s="376" t="s">
        <v>110</v>
      </c>
      <c r="F31" s="377">
        <f t="shared" ref="F31:AK31" si="5">SUM(F27:F30)</f>
        <v>0</v>
      </c>
      <c r="G31" s="377">
        <f t="shared" si="5"/>
        <v>513</v>
      </c>
      <c r="H31" s="377">
        <f t="shared" si="5"/>
        <v>999</v>
      </c>
      <c r="I31" s="377">
        <f t="shared" si="5"/>
        <v>877.5</v>
      </c>
      <c r="J31" s="377">
        <f t="shared" si="5"/>
        <v>1147.5</v>
      </c>
      <c r="K31" s="377">
        <f t="shared" si="5"/>
        <v>0</v>
      </c>
      <c r="L31" s="377">
        <f t="shared" si="5"/>
        <v>1174.5</v>
      </c>
      <c r="M31" s="377">
        <f t="shared" si="5"/>
        <v>0</v>
      </c>
      <c r="N31" s="377">
        <f t="shared" si="5"/>
        <v>0</v>
      </c>
      <c r="O31" s="377">
        <f t="shared" si="5"/>
        <v>0</v>
      </c>
      <c r="P31" s="377">
        <f t="shared" si="5"/>
        <v>0</v>
      </c>
      <c r="Q31" s="377">
        <f t="shared" si="5"/>
        <v>0</v>
      </c>
      <c r="R31" s="377">
        <f t="shared" si="5"/>
        <v>0</v>
      </c>
      <c r="S31" s="377">
        <f t="shared" si="5"/>
        <v>0</v>
      </c>
      <c r="T31" s="377">
        <f t="shared" si="5"/>
        <v>0</v>
      </c>
      <c r="U31" s="377">
        <f t="shared" si="5"/>
        <v>0</v>
      </c>
      <c r="V31" s="377">
        <f t="shared" si="5"/>
        <v>0</v>
      </c>
      <c r="W31" s="377">
        <f t="shared" si="5"/>
        <v>0</v>
      </c>
      <c r="X31" s="377">
        <f t="shared" si="5"/>
        <v>0</v>
      </c>
      <c r="Y31" s="377">
        <f t="shared" si="5"/>
        <v>0</v>
      </c>
      <c r="Z31" s="377">
        <f t="shared" si="5"/>
        <v>0</v>
      </c>
      <c r="AA31" s="377">
        <f t="shared" si="5"/>
        <v>0</v>
      </c>
      <c r="AB31" s="404">
        <f t="shared" si="5"/>
        <v>0</v>
      </c>
      <c r="AC31" s="377">
        <f t="shared" si="5"/>
        <v>0</v>
      </c>
      <c r="AD31" s="377">
        <f t="shared" si="5"/>
        <v>0</v>
      </c>
      <c r="AE31" s="377">
        <f t="shared" si="5"/>
        <v>0</v>
      </c>
      <c r="AF31" s="377">
        <f t="shared" si="5"/>
        <v>0</v>
      </c>
      <c r="AG31" s="377">
        <f t="shared" si="5"/>
        <v>0</v>
      </c>
      <c r="AH31" s="377">
        <f t="shared" si="5"/>
        <v>0</v>
      </c>
      <c r="AI31" s="377">
        <f t="shared" si="5"/>
        <v>0</v>
      </c>
      <c r="AJ31" s="377">
        <f t="shared" si="5"/>
        <v>0</v>
      </c>
      <c r="AK31" s="418">
        <f t="shared" si="5"/>
        <v>4711.5</v>
      </c>
      <c r="AL31" s="408">
        <f>HLOOKUP(LEFT(Summary!D3,2),Actual!F3:AJ47,25,FALSE)</f>
        <v>1174.5</v>
      </c>
      <c r="AM31" s="419">
        <f>HLOOKUP(LEFT(Summary!D3,2),Actual!F3:AJ52,29,FALSE)</f>
        <v>1174.5</v>
      </c>
    </row>
    <row r="32" spans="1:39" ht="14.25" customHeight="1">
      <c r="A32" s="372"/>
      <c r="B32" s="976"/>
      <c r="C32" s="958" t="s">
        <v>111</v>
      </c>
      <c r="D32" s="960"/>
      <c r="E32" s="378" t="s">
        <v>106</v>
      </c>
      <c r="F32" s="379">
        <f>SUMIFS(OB_Act[Volume (BCM)],OB_Act[Day],Actual!F$3,OB_Act[Pit],"PIT UCEX",OB_Act[Material],$E32)</f>
        <v>0</v>
      </c>
      <c r="G32" s="379">
        <f>SUMIFS(OB_Act[Volume (BCM)],OB_Act[Day],Actual!G$3,OB_Act[Pit],"PIT UCEX",OB_Act[Material],$E32)</f>
        <v>0</v>
      </c>
      <c r="H32" s="379">
        <f>SUMIFS(OB_Act[Volume (BCM)],OB_Act[Day],Actual!H$3,OB_Act[Pit],"PIT UCEX",OB_Act[Material],$E32)</f>
        <v>0</v>
      </c>
      <c r="I32" s="379">
        <f>SUMIFS(OB_Act[Volume (BCM)],OB_Act[Day],Actual!I$3,OB_Act[Pit],"PIT UCEX",OB_Act[Material],$E32)</f>
        <v>0</v>
      </c>
      <c r="J32" s="379">
        <f>SUMIFS(OB_Act[Volume (BCM)],OB_Act[Day],Actual!J$3,OB_Act[Pit],"PIT UCEX",OB_Act[Material],$E32)</f>
        <v>0</v>
      </c>
      <c r="K32" s="379">
        <f>SUMIFS(OB_Act[Volume (BCM)],OB_Act[Day],Actual!K$3,OB_Act[Pit],"PIT UCEX",OB_Act[Material],$E32)</f>
        <v>0</v>
      </c>
      <c r="L32" s="379">
        <f>SUMIFS(OB_Act[Volume (BCM)],OB_Act[Day],Actual!L$3,OB_Act[Pit],"PIT UCEX",OB_Act[Material],$E32)</f>
        <v>0</v>
      </c>
      <c r="M32" s="379">
        <f>SUMIFS(OB_Act[Volume (BCM)],OB_Act[Day],Actual!M$3,OB_Act[Pit],"PIT UCEX",OB_Act[Material],$E32)</f>
        <v>0</v>
      </c>
      <c r="N32" s="379">
        <f>SUMIFS(OB_Act[Volume (BCM)],OB_Act[Day],Actual!N$3,OB_Act[Pit],"PIT UCEX",OB_Act[Material],$E32)</f>
        <v>0</v>
      </c>
      <c r="O32" s="379">
        <f>SUMIFS(OB_Act[Volume (BCM)],OB_Act[Day],Actual!O$3,OB_Act[Pit],"PIT UCEX",OB_Act[Material],$E32)</f>
        <v>0</v>
      </c>
      <c r="P32" s="379">
        <f>SUMIFS(OB_Act[Volume (BCM)],OB_Act[Day],Actual!P$3,OB_Act[Pit],"PIT UCEX",OB_Act[Material],$E32)</f>
        <v>0</v>
      </c>
      <c r="Q32" s="379">
        <f>SUMIFS(OB_Act[Volume (BCM)],OB_Act[Day],Actual!Q$3,OB_Act[Pit],"PIT UCEX",OB_Act[Material],$E32)</f>
        <v>0</v>
      </c>
      <c r="R32" s="379">
        <f>SUMIFS(OB_Act[Volume (BCM)],OB_Act[Day],Actual!R$3,OB_Act[Pit],"PIT UCEX",OB_Act[Material],$E32)</f>
        <v>0</v>
      </c>
      <c r="S32" s="379">
        <f>SUMIFS(OB_Act[Volume (BCM)],OB_Act[Day],Actual!S$3,OB_Act[Pit],"PIT UCEX",OB_Act[Material],$E32)</f>
        <v>0</v>
      </c>
      <c r="T32" s="379">
        <f>SUMIFS(OB_Act[Volume (BCM)],OB_Act[Day],Actual!T$3,OB_Act[Pit],"PIT UCEX",OB_Act[Material],$E32)</f>
        <v>0</v>
      </c>
      <c r="U32" s="379">
        <f>SUMIFS(OB_Act[Volume (BCM)],OB_Act[Day],Actual!U$3,OB_Act[Pit],"PIT UCEX",OB_Act[Material],$E32)</f>
        <v>0</v>
      </c>
      <c r="V32" s="379">
        <f>SUMIFS(OB_Act[Volume (BCM)],OB_Act[Day],Actual!V$3,OB_Act[Pit],"PIT UCEX",OB_Act[Material],$E32)</f>
        <v>0</v>
      </c>
      <c r="W32" s="379">
        <f>SUMIFS(OB_Act[Volume (BCM)],OB_Act[Day],Actual!W$3,OB_Act[Pit],"PIT UCEX",OB_Act[Material],$E32)</f>
        <v>0</v>
      </c>
      <c r="X32" s="379">
        <f>SUMIFS(OB_Act[Volume (BCM)],OB_Act[Day],Actual!X$3,OB_Act[Pit],"PIT UCEX",OB_Act[Material],$E32)</f>
        <v>0</v>
      </c>
      <c r="Y32" s="379">
        <f>SUMIFS(OB_Act[Volume (BCM)],OB_Act[Day],Actual!Y$3,OB_Act[Pit],"PIT UCEX",OB_Act[Material],$E32)</f>
        <v>0</v>
      </c>
      <c r="Z32" s="379">
        <f>SUMIFS(OB_Act[Volume (BCM)],OB_Act[Day],Actual!Z$3,OB_Act[Pit],"PIT UCEX",OB_Act[Material],$E32)</f>
        <v>0</v>
      </c>
      <c r="AA32" s="379">
        <f>SUMIFS(OB_Act[Volume (BCM)],OB_Act[Day],Actual!AA$3,OB_Act[Pit],"PIT UCEX",OB_Act[Material],$E32)</f>
        <v>0</v>
      </c>
      <c r="AB32" s="379">
        <f>SUMIFS(OB_Act[Volume (BCM)],OB_Act[Day],Actual!AB$3,OB_Act[Pit],"PIT UCEX",OB_Act[Material],$E32)</f>
        <v>0</v>
      </c>
      <c r="AC32" s="379">
        <f>SUMIFS(OB_Act[Volume (BCM)],OB_Act[Day],Actual!AC$3,OB_Act[Pit],"PIT UCEX",OB_Act[Material],$E32)</f>
        <v>0</v>
      </c>
      <c r="AD32" s="379">
        <f>SUMIFS(OB_Act[Volume (BCM)],OB_Act[Day],Actual!AD$3,OB_Act[Pit],"PIT UCEX",OB_Act[Material],$E32)</f>
        <v>0</v>
      </c>
      <c r="AE32" s="379">
        <f>SUMIFS(OB_Act[Volume (BCM)],OB_Act[Day],Actual!AE$3,OB_Act[Pit],"PIT UCEX",OB_Act[Material],$E32)</f>
        <v>0</v>
      </c>
      <c r="AF32" s="379">
        <f>SUMIFS(OB_Act[Volume (BCM)],OB_Act[Day],Actual!AF$3,OB_Act[Pit],"PIT UCEX",OB_Act[Material],$E32)</f>
        <v>0</v>
      </c>
      <c r="AG32" s="379">
        <f>SUMIFS(OB_Act[Volume (BCM)],OB_Act[Day],Actual!AG$3,OB_Act[Pit],"PIT UCEX",OB_Act[Material],$E32)</f>
        <v>0</v>
      </c>
      <c r="AH32" s="379">
        <f>SUMIFS(OB_Act[Volume (BCM)],OB_Act[Day],Actual!AH$3,OB_Act[Pit],"PIT UCEX",OB_Act[Material],$E32)</f>
        <v>0</v>
      </c>
      <c r="AI32" s="379">
        <f>SUMIFS(OB_Act[Volume (BCM)],OB_Act[Day],Actual!AI$3,OB_Act[Pit],"PIT UCEX",OB_Act[Material],$E32)</f>
        <v>0</v>
      </c>
      <c r="AJ32" s="379">
        <f>SUMIFS(OB_Act[Volume (BCM)],OB_Act[Day],Actual!AJ$3,OB_Act[Pit],"PIT UCEX",OB_Act[Material],$E32)</f>
        <v>0</v>
      </c>
      <c r="AK32" s="420">
        <f>SUM(F32:AJ32)</f>
        <v>0</v>
      </c>
      <c r="AL32" s="414">
        <f>HLOOKUP(LEFT(Summary!D3,2),Actual!F3:AJ47,26,FALSE)</f>
        <v>0</v>
      </c>
      <c r="AM32" s="219"/>
    </row>
    <row r="33" spans="1:46" ht="14.25" customHeight="1">
      <c r="A33" s="372"/>
      <c r="B33" s="976"/>
      <c r="C33" s="961"/>
      <c r="D33" s="963"/>
      <c r="E33" s="364" t="s">
        <v>107</v>
      </c>
      <c r="F33" s="379">
        <f>SUMIFS(OB_Act[Volume (BCM)],OB_Act[Day],Actual!F$3,OB_Act[Pit],"PIT UCEX",OB_Act[Material],$E33)</f>
        <v>0</v>
      </c>
      <c r="G33" s="379">
        <f>SUMIFS(OB_Act[Volume (BCM)],OB_Act[Day],Actual!G$3,OB_Act[Pit],"PIT UCEX",OB_Act[Material],$E33)</f>
        <v>0</v>
      </c>
      <c r="H33" s="379">
        <f>SUMIFS(OB_Act[Volume (BCM)],OB_Act[Day],Actual!H$3,OB_Act[Pit],"PIT UCEX",OB_Act[Material],$E33)</f>
        <v>0</v>
      </c>
      <c r="I33" s="379">
        <f>SUMIFS(OB_Act[Volume (BCM)],OB_Act[Day],Actual!I$3,OB_Act[Pit],"PIT UCEX",OB_Act[Material],$E33)</f>
        <v>0</v>
      </c>
      <c r="J33" s="379">
        <f>SUMIFS(OB_Act[Volume (BCM)],OB_Act[Day],Actual!J$3,OB_Act[Pit],"PIT UCEX",OB_Act[Material],$E33)</f>
        <v>0</v>
      </c>
      <c r="K33" s="379">
        <f>SUMIFS(OB_Act[Volume (BCM)],OB_Act[Day],Actual!K$3,OB_Act[Pit],"PIT UCEX",OB_Act[Material],$E33)</f>
        <v>0</v>
      </c>
      <c r="L33" s="379">
        <f>SUMIFS(OB_Act[Volume (BCM)],OB_Act[Day],Actual!L$3,OB_Act[Pit],"PIT UCEX",OB_Act[Material],$E33)</f>
        <v>0</v>
      </c>
      <c r="M33" s="379">
        <f>SUMIFS(OB_Act[Volume (BCM)],OB_Act[Day],Actual!M$3,OB_Act[Pit],"PIT UCEX",OB_Act[Material],$E33)</f>
        <v>0</v>
      </c>
      <c r="N33" s="379">
        <f>SUMIFS(OB_Act[Volume (BCM)],OB_Act[Day],Actual!N$3,OB_Act[Pit],"PIT UCEX",OB_Act[Material],$E33)</f>
        <v>0</v>
      </c>
      <c r="O33" s="379">
        <f>SUMIFS(OB_Act[Volume (BCM)],OB_Act[Day],Actual!O$3,OB_Act[Pit],"PIT UCEX",OB_Act[Material],$E33)</f>
        <v>0</v>
      </c>
      <c r="P33" s="379">
        <f>SUMIFS(OB_Act[Volume (BCM)],OB_Act[Day],Actual!P$3,OB_Act[Pit],"PIT UCEX",OB_Act[Material],$E33)</f>
        <v>0</v>
      </c>
      <c r="Q33" s="379">
        <f>SUMIFS(OB_Act[Volume (BCM)],OB_Act[Day],Actual!Q$3,OB_Act[Pit],"PIT UCEX",OB_Act[Material],$E33)</f>
        <v>0</v>
      </c>
      <c r="R33" s="379">
        <f>SUMIFS(OB_Act[Volume (BCM)],OB_Act[Day],Actual!R$3,OB_Act[Pit],"PIT UCEX",OB_Act[Material],$E33)</f>
        <v>0</v>
      </c>
      <c r="S33" s="379">
        <f>SUMIFS(OB_Act[Volume (BCM)],OB_Act[Day],Actual!S$3,OB_Act[Pit],"PIT UCEX",OB_Act[Material],$E33)</f>
        <v>0</v>
      </c>
      <c r="T33" s="379">
        <f>SUMIFS(OB_Act[Volume (BCM)],OB_Act[Day],Actual!T$3,OB_Act[Pit],"PIT UCEX",OB_Act[Material],$E33)</f>
        <v>0</v>
      </c>
      <c r="U33" s="379">
        <f>SUMIFS(OB_Act[Volume (BCM)],OB_Act[Day],Actual!U$3,OB_Act[Pit],"PIT UCEX",OB_Act[Material],$E33)</f>
        <v>0</v>
      </c>
      <c r="V33" s="379">
        <f>SUMIFS(OB_Act[Volume (BCM)],OB_Act[Day],Actual!V$3,OB_Act[Pit],"PIT UCEX",OB_Act[Material],$E33)</f>
        <v>0</v>
      </c>
      <c r="W33" s="379">
        <f>SUMIFS(OB_Act[Volume (BCM)],OB_Act[Day],Actual!W$3,OB_Act[Pit],"PIT UCEX",OB_Act[Material],$E33)</f>
        <v>0</v>
      </c>
      <c r="X33" s="379">
        <f>SUMIFS(OB_Act[Volume (BCM)],OB_Act[Day],Actual!X$3,OB_Act[Pit],"PIT UCEX",OB_Act[Material],$E33)</f>
        <v>0</v>
      </c>
      <c r="Y33" s="379">
        <f>SUMIFS(OB_Act[Volume (BCM)],OB_Act[Day],Actual!Y$3,OB_Act[Pit],"PIT UCEX",OB_Act[Material],$E33)</f>
        <v>0</v>
      </c>
      <c r="Z33" s="379">
        <f>SUMIFS(OB_Act[Volume (BCM)],OB_Act[Day],Actual!Z$3,OB_Act[Pit],"PIT UCEX",OB_Act[Material],$E33)</f>
        <v>0</v>
      </c>
      <c r="AA33" s="379">
        <f>SUMIFS(OB_Act[Volume (BCM)],OB_Act[Day],Actual!AA$3,OB_Act[Pit],"PIT UCEX",OB_Act[Material],$E33)</f>
        <v>0</v>
      </c>
      <c r="AB33" s="379">
        <f>SUMIFS(OB_Act[Volume (BCM)],OB_Act[Day],Actual!AB$3,OB_Act[Pit],"PIT UCEX",OB_Act[Material],$E33)</f>
        <v>0</v>
      </c>
      <c r="AC33" s="379">
        <f>SUMIFS(OB_Act[Volume (BCM)],OB_Act[Day],Actual!AC$3,OB_Act[Pit],"PIT UCEX",OB_Act[Material],$E33)</f>
        <v>0</v>
      </c>
      <c r="AD33" s="379">
        <f>SUMIFS(OB_Act[Volume (BCM)],OB_Act[Day],Actual!AD$3,OB_Act[Pit],"PIT UCEX",OB_Act[Material],$E33)</f>
        <v>0</v>
      </c>
      <c r="AE33" s="379">
        <f>SUMIFS(OB_Act[Volume (BCM)],OB_Act[Day],Actual!AE$3,OB_Act[Pit],"PIT UCEX",OB_Act[Material],$E33)</f>
        <v>0</v>
      </c>
      <c r="AF33" s="379">
        <f>SUMIFS(OB_Act[Volume (BCM)],OB_Act[Day],Actual!AF$3,OB_Act[Pit],"PIT UCEX",OB_Act[Material],$E33)</f>
        <v>0</v>
      </c>
      <c r="AG33" s="379">
        <f>SUMIFS(OB_Act[Volume (BCM)],OB_Act[Day],Actual!AG$3,OB_Act[Pit],"PIT UCEX",OB_Act[Material],$E33)</f>
        <v>0</v>
      </c>
      <c r="AH33" s="379">
        <f>SUMIFS(OB_Act[Volume (BCM)],OB_Act[Day],Actual!AH$3,OB_Act[Pit],"PIT UCEX",OB_Act[Material],$E33)</f>
        <v>0</v>
      </c>
      <c r="AI33" s="379">
        <f>SUMIFS(OB_Act[Volume (BCM)],OB_Act[Day],Actual!AI$3,OB_Act[Pit],"PIT UCEX",OB_Act[Material],$E33)</f>
        <v>0</v>
      </c>
      <c r="AJ33" s="379">
        <f>SUMIFS(OB_Act[Volume (BCM)],OB_Act[Day],Actual!AJ$3,OB_Act[Pit],"PIT UCEX",OB_Act[Material],$E33)</f>
        <v>0</v>
      </c>
      <c r="AK33" s="416">
        <f>SUM(F33:AJ33)</f>
        <v>0</v>
      </c>
      <c r="AL33" s="408">
        <f>HLOOKUP(LEFT(Summary!D3,2),Actual!F3:AJ47,27,FALSE)</f>
        <v>0</v>
      </c>
      <c r="AM33" s="219"/>
    </row>
    <row r="34" spans="1:46" ht="14.25" customHeight="1">
      <c r="A34" s="372"/>
      <c r="B34" s="976"/>
      <c r="C34" s="961"/>
      <c r="D34" s="963"/>
      <c r="E34" s="364" t="s">
        <v>108</v>
      </c>
      <c r="F34" s="379">
        <f>SUMIFS(OB_Act[Volume (BCM)],OB_Act[Day],Actual!F$3,OB_Act[Pit],"PIT UCEX",OB_Act[Material],$E34)</f>
        <v>0</v>
      </c>
      <c r="G34" s="379">
        <f>SUMIFS(OB_Act[Volume (BCM)],OB_Act[Day],Actual!G$3,OB_Act[Pit],"PIT UCEX",OB_Act[Material],$E34)</f>
        <v>0</v>
      </c>
      <c r="H34" s="379">
        <f>SUMIFS(OB_Act[Volume (BCM)],OB_Act[Day],Actual!H$3,OB_Act[Pit],"PIT UCEX",OB_Act[Material],$E34)</f>
        <v>0</v>
      </c>
      <c r="I34" s="379">
        <f>SUMIFS(OB_Act[Volume (BCM)],OB_Act[Day],Actual!I$3,OB_Act[Pit],"PIT UCEX",OB_Act[Material],$E34)</f>
        <v>0</v>
      </c>
      <c r="J34" s="379">
        <f>SUMIFS(OB_Act[Volume (BCM)],OB_Act[Day],Actual!J$3,OB_Act[Pit],"PIT UCEX",OB_Act[Material],$E34)</f>
        <v>0</v>
      </c>
      <c r="K34" s="379">
        <f>SUMIFS(OB_Act[Volume (BCM)],OB_Act[Day],Actual!K$3,OB_Act[Pit],"PIT UCEX",OB_Act[Material],$E34)</f>
        <v>0</v>
      </c>
      <c r="L34" s="379">
        <f>SUMIFS(OB_Act[Volume (BCM)],OB_Act[Day],Actual!L$3,OB_Act[Pit],"PIT UCEX",OB_Act[Material],$E34)</f>
        <v>0</v>
      </c>
      <c r="M34" s="379">
        <f>SUMIFS(OB_Act[Volume (BCM)],OB_Act[Day],Actual!M$3,OB_Act[Pit],"PIT UCEX",OB_Act[Material],$E34)</f>
        <v>0</v>
      </c>
      <c r="N34" s="379">
        <f>SUMIFS(OB_Act[Volume (BCM)],OB_Act[Day],Actual!N$3,OB_Act[Pit],"PIT UCEX",OB_Act[Material],$E34)</f>
        <v>0</v>
      </c>
      <c r="O34" s="379">
        <f>SUMIFS(OB_Act[Volume (BCM)],OB_Act[Day],Actual!O$3,OB_Act[Pit],"PIT UCEX",OB_Act[Material],$E34)</f>
        <v>0</v>
      </c>
      <c r="P34" s="379">
        <f>SUMIFS(OB_Act[Volume (BCM)],OB_Act[Day],Actual!P$3,OB_Act[Pit],"PIT UCEX",OB_Act[Material],$E34)</f>
        <v>0</v>
      </c>
      <c r="Q34" s="379">
        <f>SUMIFS(OB_Act[Volume (BCM)],OB_Act[Day],Actual!Q$3,OB_Act[Pit],"PIT UCEX",OB_Act[Material],$E34)</f>
        <v>0</v>
      </c>
      <c r="R34" s="379">
        <f>SUMIFS(OB_Act[Volume (BCM)],OB_Act[Day],Actual!R$3,OB_Act[Pit],"PIT UCEX",OB_Act[Material],$E34)</f>
        <v>0</v>
      </c>
      <c r="S34" s="379">
        <f>SUMIFS(OB_Act[Volume (BCM)],OB_Act[Day],Actual!S$3,OB_Act[Pit],"PIT UCEX",OB_Act[Material],$E34)</f>
        <v>0</v>
      </c>
      <c r="T34" s="379">
        <f>SUMIFS(OB_Act[Volume (BCM)],OB_Act[Day],Actual!T$3,OB_Act[Pit],"PIT UCEX",OB_Act[Material],$E34)</f>
        <v>0</v>
      </c>
      <c r="U34" s="379">
        <f>SUMIFS(OB_Act[Volume (BCM)],OB_Act[Day],Actual!U$3,OB_Act[Pit],"PIT UCEX",OB_Act[Material],$E34)</f>
        <v>0</v>
      </c>
      <c r="V34" s="379">
        <f>SUMIFS(OB_Act[Volume (BCM)],OB_Act[Day],Actual!V$3,OB_Act[Pit],"PIT UCEX",OB_Act[Material],$E34)</f>
        <v>0</v>
      </c>
      <c r="W34" s="379">
        <f>SUMIFS(OB_Act[Volume (BCM)],OB_Act[Day],Actual!W$3,OB_Act[Pit],"PIT UCEX",OB_Act[Material],$E34)</f>
        <v>0</v>
      </c>
      <c r="X34" s="379">
        <f>SUMIFS(OB_Act[Volume (BCM)],OB_Act[Day],Actual!X$3,OB_Act[Pit],"PIT UCEX",OB_Act[Material],$E34)</f>
        <v>0</v>
      </c>
      <c r="Y34" s="379">
        <f>SUMIFS(OB_Act[Volume (BCM)],OB_Act[Day],Actual!Y$3,OB_Act[Pit],"PIT UCEX",OB_Act[Material],$E34)</f>
        <v>0</v>
      </c>
      <c r="Z34" s="379">
        <f>SUMIFS(OB_Act[Volume (BCM)],OB_Act[Day],Actual!Z$3,OB_Act[Pit],"PIT UCEX",OB_Act[Material],$E34)</f>
        <v>0</v>
      </c>
      <c r="AA34" s="379">
        <f>SUMIFS(OB_Act[Volume (BCM)],OB_Act[Day],Actual!AA$3,OB_Act[Pit],"PIT UCEX",OB_Act[Material],$E34)</f>
        <v>0</v>
      </c>
      <c r="AB34" s="379">
        <f>SUMIFS(OB_Act[Volume (BCM)],OB_Act[Day],Actual!AB$3,OB_Act[Pit],"PIT UCEX",OB_Act[Material],$E34)</f>
        <v>0</v>
      </c>
      <c r="AC34" s="379">
        <f>SUMIFS(OB_Act[Volume (BCM)],OB_Act[Day],Actual!AC$3,OB_Act[Pit],"PIT UCEX",OB_Act[Material],$E34)</f>
        <v>0</v>
      </c>
      <c r="AD34" s="379">
        <f>SUMIFS(OB_Act[Volume (BCM)],OB_Act[Day],Actual!AD$3,OB_Act[Pit],"PIT UCEX",OB_Act[Material],$E34)</f>
        <v>0</v>
      </c>
      <c r="AE34" s="379">
        <f>SUMIFS(OB_Act[Volume (BCM)],OB_Act[Day],Actual!AE$3,OB_Act[Pit],"PIT UCEX",OB_Act[Material],$E34)</f>
        <v>0</v>
      </c>
      <c r="AF34" s="379">
        <f>SUMIFS(OB_Act[Volume (BCM)],OB_Act[Day],Actual!AF$3,OB_Act[Pit],"PIT UCEX",OB_Act[Material],$E34)</f>
        <v>0</v>
      </c>
      <c r="AG34" s="379">
        <f>SUMIFS(OB_Act[Volume (BCM)],OB_Act[Day],Actual!AG$3,OB_Act[Pit],"PIT UCEX",OB_Act[Material],$E34)</f>
        <v>0</v>
      </c>
      <c r="AH34" s="379">
        <f>SUMIFS(OB_Act[Volume (BCM)],OB_Act[Day],Actual!AH$3,OB_Act[Pit],"PIT UCEX",OB_Act[Material],$E34)</f>
        <v>0</v>
      </c>
      <c r="AI34" s="379">
        <f>SUMIFS(OB_Act[Volume (BCM)],OB_Act[Day],Actual!AI$3,OB_Act[Pit],"PIT UCEX",OB_Act[Material],$E34)</f>
        <v>0</v>
      </c>
      <c r="AJ34" s="379">
        <f>SUMIFS(OB_Act[Volume (BCM)],OB_Act[Day],Actual!AJ$3,OB_Act[Pit],"PIT UCEX",OB_Act[Material],$E34)</f>
        <v>0</v>
      </c>
      <c r="AK34" s="421">
        <f>SUM(F34:AJ34)</f>
        <v>0</v>
      </c>
      <c r="AL34" s="408"/>
      <c r="AM34" s="219"/>
    </row>
    <row r="35" spans="1:46" ht="14.25" customHeight="1">
      <c r="A35" s="372"/>
      <c r="B35" s="976"/>
      <c r="C35" s="961"/>
      <c r="D35" s="963"/>
      <c r="E35" s="364" t="s">
        <v>109</v>
      </c>
      <c r="F35" s="379">
        <f>SUMIFS(OB_Act[Volume (BCM)],OB_Act[Day],Actual!F$3,OB_Act[Pit],"PIT UCEX",OB_Act[Material],$E35)</f>
        <v>0</v>
      </c>
      <c r="G35" s="379">
        <f>SUMIFS(OB_Act[Volume (BCM)],OB_Act[Day],Actual!G$3,OB_Act[Pit],"PIT UCEX",OB_Act[Material],$E35)</f>
        <v>0</v>
      </c>
      <c r="H35" s="379">
        <f>SUMIFS(OB_Act[Volume (BCM)],OB_Act[Day],Actual!H$3,OB_Act[Pit],"PIT UCEX",OB_Act[Material],$E35)</f>
        <v>0</v>
      </c>
      <c r="I35" s="379">
        <f>SUMIFS(OB_Act[Volume (BCM)],OB_Act[Day],Actual!I$3,OB_Act[Pit],"PIT UCEX",OB_Act[Material],$E35)</f>
        <v>0</v>
      </c>
      <c r="J35" s="379">
        <f>SUMIFS(OB_Act[Volume (BCM)],OB_Act[Day],Actual!J$3,OB_Act[Pit],"PIT UCEX",OB_Act[Material],$E35)</f>
        <v>0</v>
      </c>
      <c r="K35" s="379">
        <f>SUMIFS(OB_Act[Volume (BCM)],OB_Act[Day],Actual!K$3,OB_Act[Pit],"PIT UCEX",OB_Act[Material],$E35)</f>
        <v>0</v>
      </c>
      <c r="L35" s="379">
        <f>SUMIFS(OB_Act[Volume (BCM)],OB_Act[Day],Actual!L$3,OB_Act[Pit],"PIT UCEX",OB_Act[Material],$E35)</f>
        <v>0</v>
      </c>
      <c r="M35" s="379">
        <f>SUMIFS(OB_Act[Volume (BCM)],OB_Act[Day],Actual!M$3,OB_Act[Pit],"PIT UCEX",OB_Act[Material],$E35)</f>
        <v>0</v>
      </c>
      <c r="N35" s="379">
        <f>SUMIFS(OB_Act[Volume (BCM)],OB_Act[Day],Actual!N$3,OB_Act[Pit],"PIT UCEX",OB_Act[Material],$E35)</f>
        <v>0</v>
      </c>
      <c r="O35" s="379">
        <f>SUMIFS(OB_Act[Volume (BCM)],OB_Act[Day],Actual!O$3,OB_Act[Pit],"PIT UCEX",OB_Act[Material],$E35)</f>
        <v>0</v>
      </c>
      <c r="P35" s="379">
        <f>SUMIFS(OB_Act[Volume (BCM)],OB_Act[Day],Actual!P$3,OB_Act[Pit],"PIT UCEX",OB_Act[Material],$E35)</f>
        <v>0</v>
      </c>
      <c r="Q35" s="379">
        <f>SUMIFS(OB_Act[Volume (BCM)],OB_Act[Day],Actual!Q$3,OB_Act[Pit],"PIT UCEX",OB_Act[Material],$E35)</f>
        <v>0</v>
      </c>
      <c r="R35" s="379">
        <f>SUMIFS(OB_Act[Volume (BCM)],OB_Act[Day],Actual!R$3,OB_Act[Pit],"PIT UCEX",OB_Act[Material],$E35)</f>
        <v>0</v>
      </c>
      <c r="S35" s="379">
        <f>SUMIFS(OB_Act[Volume (BCM)],OB_Act[Day],Actual!S$3,OB_Act[Pit],"PIT UCEX",OB_Act[Material],$E35)</f>
        <v>0</v>
      </c>
      <c r="T35" s="379">
        <f>SUMIFS(OB_Act[Volume (BCM)],OB_Act[Day],Actual!T$3,OB_Act[Pit],"PIT UCEX",OB_Act[Material],$E35)</f>
        <v>0</v>
      </c>
      <c r="U35" s="379">
        <f>SUMIFS(OB_Act[Volume (BCM)],OB_Act[Day],Actual!U$3,OB_Act[Pit],"PIT UCEX",OB_Act[Material],$E35)</f>
        <v>0</v>
      </c>
      <c r="V35" s="379">
        <f>SUMIFS(OB_Act[Volume (BCM)],OB_Act[Day],Actual!V$3,OB_Act[Pit],"PIT UCEX",OB_Act[Material],$E35)</f>
        <v>0</v>
      </c>
      <c r="W35" s="379">
        <f>SUMIFS(OB_Act[Volume (BCM)],OB_Act[Day],Actual!W$3,OB_Act[Pit],"PIT UCEX",OB_Act[Material],$E35)</f>
        <v>0</v>
      </c>
      <c r="X35" s="379">
        <f>SUMIFS(OB_Act[Volume (BCM)],OB_Act[Day],Actual!X$3,OB_Act[Pit],"PIT UCEX",OB_Act[Material],$E35)</f>
        <v>0</v>
      </c>
      <c r="Y35" s="379">
        <f>SUMIFS(OB_Act[Volume (BCM)],OB_Act[Day],Actual!Y$3,OB_Act[Pit],"PIT UCEX",OB_Act[Material],$E35)</f>
        <v>0</v>
      </c>
      <c r="Z35" s="379">
        <f>SUMIFS(OB_Act[Volume (BCM)],OB_Act[Day],Actual!Z$3,OB_Act[Pit],"PIT UCEX",OB_Act[Material],$E35)</f>
        <v>0</v>
      </c>
      <c r="AA35" s="379">
        <f>SUMIFS(OB_Act[Volume (BCM)],OB_Act[Day],Actual!AA$3,OB_Act[Pit],"PIT UCEX",OB_Act[Material],$E35)</f>
        <v>0</v>
      </c>
      <c r="AB35" s="379">
        <f>SUMIFS(OB_Act[Volume (BCM)],OB_Act[Day],Actual!AB$3,OB_Act[Pit],"PIT UCEX",OB_Act[Material],$E35)</f>
        <v>0</v>
      </c>
      <c r="AC35" s="379">
        <f>SUMIFS(OB_Act[Volume (BCM)],OB_Act[Day],Actual!AC$3,OB_Act[Pit],"PIT UCEX",OB_Act[Material],$E35)</f>
        <v>0</v>
      </c>
      <c r="AD35" s="379">
        <f>SUMIFS(OB_Act[Volume (BCM)],OB_Act[Day],Actual!AD$3,OB_Act[Pit],"PIT UCEX",OB_Act[Material],$E35)</f>
        <v>0</v>
      </c>
      <c r="AE35" s="379">
        <f>SUMIFS(OB_Act[Volume (BCM)],OB_Act[Day],Actual!AE$3,OB_Act[Pit],"PIT UCEX",OB_Act[Material],$E35)</f>
        <v>0</v>
      </c>
      <c r="AF35" s="379">
        <f>SUMIFS(OB_Act[Volume (BCM)],OB_Act[Day],Actual!AF$3,OB_Act[Pit],"PIT UCEX",OB_Act[Material],$E35)</f>
        <v>0</v>
      </c>
      <c r="AG35" s="379">
        <f>SUMIFS(OB_Act[Volume (BCM)],OB_Act[Day],Actual!AG$3,OB_Act[Pit],"PIT UCEX",OB_Act[Material],$E35)</f>
        <v>0</v>
      </c>
      <c r="AH35" s="379">
        <f>SUMIFS(OB_Act[Volume (BCM)],OB_Act[Day],Actual!AH$3,OB_Act[Pit],"PIT UCEX",OB_Act[Material],$E35)</f>
        <v>0</v>
      </c>
      <c r="AI35" s="379">
        <f>SUMIFS(OB_Act[Volume (BCM)],OB_Act[Day],Actual!AI$3,OB_Act[Pit],"PIT UCEX",OB_Act[Material],$E35)</f>
        <v>0</v>
      </c>
      <c r="AJ35" s="379">
        <f>SUMIFS(OB_Act[Volume (BCM)],OB_Act[Day],Actual!AJ$3,OB_Act[Pit],"PIT UCEX",OB_Act[Material],$E35)</f>
        <v>0</v>
      </c>
      <c r="AK35" s="421">
        <f>SUM(F35:AJ35)</f>
        <v>0</v>
      </c>
      <c r="AL35" s="408">
        <f>HLOOKUP(LEFT(Summary!D3,2),Actual!F3:AJ47,28,FALSE)</f>
        <v>0</v>
      </c>
      <c r="AM35" s="219"/>
    </row>
    <row r="36" spans="1:46" ht="14.25" customHeight="1">
      <c r="A36" s="372"/>
      <c r="B36" s="976"/>
      <c r="C36" s="964"/>
      <c r="D36" s="966"/>
      <c r="E36" s="366" t="s">
        <v>98</v>
      </c>
      <c r="F36" s="377">
        <f t="shared" ref="F36:AK36" si="6">SUM(F32:F35)</f>
        <v>0</v>
      </c>
      <c r="G36" s="377">
        <f t="shared" si="6"/>
        <v>0</v>
      </c>
      <c r="H36" s="377">
        <f t="shared" si="6"/>
        <v>0</v>
      </c>
      <c r="I36" s="377">
        <f t="shared" si="6"/>
        <v>0</v>
      </c>
      <c r="J36" s="377">
        <f t="shared" si="6"/>
        <v>0</v>
      </c>
      <c r="K36" s="377">
        <f t="shared" si="6"/>
        <v>0</v>
      </c>
      <c r="L36" s="377">
        <f t="shared" si="6"/>
        <v>0</v>
      </c>
      <c r="M36" s="377">
        <f t="shared" si="6"/>
        <v>0</v>
      </c>
      <c r="N36" s="377">
        <f t="shared" si="6"/>
        <v>0</v>
      </c>
      <c r="O36" s="377">
        <f t="shared" si="6"/>
        <v>0</v>
      </c>
      <c r="P36" s="377">
        <f t="shared" si="6"/>
        <v>0</v>
      </c>
      <c r="Q36" s="377">
        <f t="shared" si="6"/>
        <v>0</v>
      </c>
      <c r="R36" s="377">
        <f t="shared" si="6"/>
        <v>0</v>
      </c>
      <c r="S36" s="377">
        <f t="shared" si="6"/>
        <v>0</v>
      </c>
      <c r="T36" s="377">
        <f t="shared" si="6"/>
        <v>0</v>
      </c>
      <c r="U36" s="377">
        <f t="shared" si="6"/>
        <v>0</v>
      </c>
      <c r="V36" s="377">
        <f t="shared" si="6"/>
        <v>0</v>
      </c>
      <c r="W36" s="377">
        <f t="shared" si="6"/>
        <v>0</v>
      </c>
      <c r="X36" s="377">
        <f t="shared" si="6"/>
        <v>0</v>
      </c>
      <c r="Y36" s="377">
        <f t="shared" si="6"/>
        <v>0</v>
      </c>
      <c r="Z36" s="377">
        <f t="shared" si="6"/>
        <v>0</v>
      </c>
      <c r="AA36" s="377">
        <f t="shared" si="6"/>
        <v>0</v>
      </c>
      <c r="AB36" s="404">
        <f t="shared" si="6"/>
        <v>0</v>
      </c>
      <c r="AC36" s="377">
        <f t="shared" si="6"/>
        <v>0</v>
      </c>
      <c r="AD36" s="377">
        <f t="shared" si="6"/>
        <v>0</v>
      </c>
      <c r="AE36" s="377">
        <f t="shared" si="6"/>
        <v>0</v>
      </c>
      <c r="AF36" s="377">
        <f t="shared" si="6"/>
        <v>0</v>
      </c>
      <c r="AG36" s="377">
        <f t="shared" si="6"/>
        <v>0</v>
      </c>
      <c r="AH36" s="377">
        <f t="shared" si="6"/>
        <v>0</v>
      </c>
      <c r="AI36" s="377">
        <f t="shared" si="6"/>
        <v>0</v>
      </c>
      <c r="AJ36" s="377">
        <f t="shared" si="6"/>
        <v>0</v>
      </c>
      <c r="AK36" s="422">
        <f t="shared" si="6"/>
        <v>0</v>
      </c>
      <c r="AL36" s="408" t="s">
        <v>93</v>
      </c>
      <c r="AM36" s="419">
        <f>HLOOKUP(LEFT(Summary!D3,2),Actual!F3:AJ52,34,FALSE)</f>
        <v>0</v>
      </c>
      <c r="AN36" s="231">
        <f>HLOOKUP(LEFT(Summary!D3,2),Actual!F3:AJ36,34,FALSE)</f>
        <v>0</v>
      </c>
    </row>
    <row r="37" spans="1:46" ht="14.25" customHeight="1">
      <c r="A37" s="372"/>
      <c r="B37" s="976"/>
      <c r="C37" s="374"/>
      <c r="D37" s="375"/>
      <c r="E37" s="366"/>
      <c r="F37" s="883" t="s">
        <v>61</v>
      </c>
      <c r="G37" s="883" t="s">
        <v>62</v>
      </c>
      <c r="H37" s="883" t="s">
        <v>63</v>
      </c>
      <c r="I37" s="883" t="s">
        <v>64</v>
      </c>
      <c r="J37" s="883" t="s">
        <v>65</v>
      </c>
      <c r="K37" s="883" t="s">
        <v>66</v>
      </c>
      <c r="L37" s="883" t="s">
        <v>67</v>
      </c>
      <c r="M37" s="883" t="s">
        <v>68</v>
      </c>
      <c r="N37" s="883" t="s">
        <v>69</v>
      </c>
      <c r="O37" s="883" t="s">
        <v>70</v>
      </c>
      <c r="P37" s="883" t="s">
        <v>71</v>
      </c>
      <c r="Q37" s="883" t="s">
        <v>72</v>
      </c>
      <c r="R37" s="883" t="s">
        <v>73</v>
      </c>
      <c r="S37" s="883" t="s">
        <v>74</v>
      </c>
      <c r="T37" s="883" t="s">
        <v>75</v>
      </c>
      <c r="U37" s="883" t="s">
        <v>76</v>
      </c>
      <c r="V37" s="883" t="s">
        <v>77</v>
      </c>
      <c r="W37" s="883" t="s">
        <v>78</v>
      </c>
      <c r="X37" s="883" t="s">
        <v>79</v>
      </c>
      <c r="Y37" s="883" t="s">
        <v>80</v>
      </c>
      <c r="Z37" s="883" t="s">
        <v>81</v>
      </c>
      <c r="AA37" s="883" t="s">
        <v>82</v>
      </c>
      <c r="AB37" s="884" t="s">
        <v>83</v>
      </c>
      <c r="AC37" s="883" t="s">
        <v>84</v>
      </c>
      <c r="AD37" s="883" t="s">
        <v>85</v>
      </c>
      <c r="AE37" s="883" t="s">
        <v>86</v>
      </c>
      <c r="AF37" s="883" t="s">
        <v>87</v>
      </c>
      <c r="AG37" s="883" t="s">
        <v>88</v>
      </c>
      <c r="AH37" s="883" t="s">
        <v>89</v>
      </c>
      <c r="AI37" s="883" t="s">
        <v>90</v>
      </c>
      <c r="AJ37" s="883" t="s">
        <v>91</v>
      </c>
      <c r="AK37" s="410"/>
      <c r="AL37" s="408"/>
      <c r="AM37" s="219"/>
      <c r="AN37" s="221"/>
    </row>
    <row r="38" spans="1:46" ht="14.25" customHeight="1">
      <c r="A38" s="372"/>
      <c r="B38" s="976"/>
      <c r="C38" s="958" t="s">
        <v>742</v>
      </c>
      <c r="D38" s="960"/>
      <c r="E38" s="378" t="s">
        <v>106</v>
      </c>
      <c r="F38" s="379">
        <f>SUMIFS(OB_Act[Volume (BCM)],OB_Act[Day],Actual!F$3,OB_Act[Dump Area],"Alternatif_Nursery",OB_Act[Material],$E38)</f>
        <v>0</v>
      </c>
      <c r="G38" s="379">
        <f>SUMIFS(OB_Act[Volume (BCM)],OB_Act[Day],Actual!G$3,OB_Act[Dump Area],"Alternatif_Nursery",OB_Act[Material],$E38)</f>
        <v>0</v>
      </c>
      <c r="H38" s="379">
        <f>SUMIFS(OB_Act[Volume (BCM)],OB_Act[Day],Actual!H$3,OB_Act[Dump Area],"Alternatif_Nursery",OB_Act[Material],$E38)</f>
        <v>0</v>
      </c>
      <c r="I38" s="379">
        <f>SUMIFS(OB_Act[Volume (BCM)],OB_Act[Day],Actual!I$3,OB_Act[Dump Area],"Alternatif_Nursery",OB_Act[Material],$E38)</f>
        <v>0</v>
      </c>
      <c r="J38" s="379">
        <f>SUMIFS(OB_Act[Volume (BCM)],OB_Act[Day],Actual!J$3,OB_Act[Dump Area],"Alternatif_Nursery",OB_Act[Material],$E38)</f>
        <v>0</v>
      </c>
      <c r="K38" s="379">
        <f>SUMIFS(OB_Act[Volume (BCM)],OB_Act[Day],Actual!K$3,OB_Act[Dump Area],"Alternatif_Nursery",OB_Act[Material],$E38)</f>
        <v>0</v>
      </c>
      <c r="L38" s="379">
        <f>SUMIFS(OB_Act[Volume (BCM)],OB_Act[Day],Actual!L$3,OB_Act[Dump Area],"Alternatif_Nursery",OB_Act[Material],$E38)</f>
        <v>0</v>
      </c>
      <c r="M38" s="379">
        <f>SUMIFS(OB_Act[Volume (BCM)],OB_Act[Day],Actual!M$3,OB_Act[Dump Area],"Alternatif_Nursery",OB_Act[Material],$E38)</f>
        <v>0</v>
      </c>
      <c r="N38" s="379">
        <f>SUMIFS(OB_Act[Volume (BCM)],OB_Act[Day],Actual!N$3,OB_Act[Dump Area],"Alternatif_Nursery",OB_Act[Material],$E38)</f>
        <v>0</v>
      </c>
      <c r="O38" s="379">
        <f>SUMIFS(OB_Act[Volume (BCM)],OB_Act[Day],Actual!O$3,OB_Act[Dump Area],"Alternatif_Nursery",OB_Act[Material],$E38)</f>
        <v>0</v>
      </c>
      <c r="P38" s="379">
        <f>SUMIFS(OB_Act[Volume (BCM)],OB_Act[Day],Actual!P$3,OB_Act[Dump Area],"Alternatif_Nursery",OB_Act[Material],$E38)</f>
        <v>0</v>
      </c>
      <c r="Q38" s="379">
        <f>SUMIFS(OB_Act[Volume (BCM)],OB_Act[Day],Actual!Q$3,OB_Act[Dump Area],"Alternatif_Nursery",OB_Act[Material],$E38)</f>
        <v>0</v>
      </c>
      <c r="R38" s="379">
        <f>SUMIFS(OB_Act[Volume (BCM)],OB_Act[Day],Actual!R$3,OB_Act[Dump Area],"Alternatif_Nursery",OB_Act[Material],$E38)</f>
        <v>0</v>
      </c>
      <c r="S38" s="379">
        <f>SUMIFS(OB_Act[Volume (BCM)],OB_Act[Day],Actual!S$3,OB_Act[Dump Area],"Alternatif_Nursery",OB_Act[Material],$E38)</f>
        <v>0</v>
      </c>
      <c r="T38" s="379">
        <f>SUMIFS(OB_Act[Volume (BCM)],OB_Act[Day],Actual!T$3,OB_Act[Dump Area],"Alternatif_Nursery",OB_Act[Material],$E38)</f>
        <v>0</v>
      </c>
      <c r="U38" s="379">
        <f>SUMIFS(OB_Act[Volume (BCM)],OB_Act[Day],Actual!U$3,OB_Act[Dump Area],"Alternatif_Nursery",OB_Act[Material],$E38)</f>
        <v>0</v>
      </c>
      <c r="V38" s="379">
        <f>SUMIFS(OB_Act[Volume (BCM)],OB_Act[Day],Actual!V$3,OB_Act[Dump Area],"Alternatif_Nursery",OB_Act[Material],$E38)</f>
        <v>0</v>
      </c>
      <c r="W38" s="379">
        <f>SUMIFS(OB_Act[Volume (BCM)],OB_Act[Day],Actual!W$3,OB_Act[Dump Area],"Alternatif_Nursery",OB_Act[Material],$E38)</f>
        <v>0</v>
      </c>
      <c r="X38" s="379">
        <f>SUMIFS(OB_Act[Volume (BCM)],OB_Act[Day],Actual!X$3,OB_Act[Dump Area],"Alternatif_Nursery",OB_Act[Material],$E38)</f>
        <v>0</v>
      </c>
      <c r="Y38" s="379">
        <f>SUMIFS(OB_Act[Volume (BCM)],OB_Act[Day],Actual!Y$3,OB_Act[Dump Area],"Alternatif_Nursery",OB_Act[Material],$E38)</f>
        <v>0</v>
      </c>
      <c r="Z38" s="379">
        <f>SUMIFS(OB_Act[Volume (BCM)],OB_Act[Day],Actual!Z$3,OB_Act[Dump Area],"Alternatif_Nursery",OB_Act[Material],$E38)</f>
        <v>0</v>
      </c>
      <c r="AA38" s="379">
        <f>SUMIFS(OB_Act[Volume (BCM)],OB_Act[Day],Actual!AA$3,OB_Act[Dump Area],"Alternatif_Nursery",OB_Act[Material],$E38)</f>
        <v>0</v>
      </c>
      <c r="AB38" s="379">
        <f>SUMIFS(OB_Act[Volume (BCM)],OB_Act[Day],Actual!AB$3,OB_Act[Dump Area],"Alternatif_Nursery",OB_Act[Material],$E38)</f>
        <v>0</v>
      </c>
      <c r="AC38" s="379">
        <f>SUMIFS(OB_Act[Volume (BCM)],OB_Act[Day],Actual!AC$3,OB_Act[Dump Area],"Alternatif_Nursery",OB_Act[Material],$E38)</f>
        <v>0</v>
      </c>
      <c r="AD38" s="379">
        <f>SUMIFS(OB_Act[Volume (BCM)],OB_Act[Day],Actual!AD$3,OB_Act[Dump Area],"Alternatif_Nursery",OB_Act[Material],$E38)</f>
        <v>0</v>
      </c>
      <c r="AE38" s="379">
        <f>SUMIFS(OB_Act[Volume (BCM)],OB_Act[Day],Actual!AE$3,OB_Act[Dump Area],"Alternatif_Nursery",OB_Act[Material],$E38)</f>
        <v>0</v>
      </c>
      <c r="AF38" s="379">
        <f>SUMIFS(OB_Act[Volume (BCM)],OB_Act[Day],Actual!AF$3,OB_Act[Dump Area],"Alternatif_Nursery",OB_Act[Material],$E38)</f>
        <v>0</v>
      </c>
      <c r="AG38" s="379">
        <f>SUMIFS(OB_Act[Volume (BCM)],OB_Act[Day],Actual!AG$3,OB_Act[Dump Area],"Alternatif_Nursery",OB_Act[Material],$E38)</f>
        <v>0</v>
      </c>
      <c r="AH38" s="379">
        <f>SUMIFS(OB_Act[Volume (BCM)],OB_Act[Day],Actual!AH$3,OB_Act[Dump Area],"Alternatif_Nursery",OB_Act[Material],$E38)</f>
        <v>0</v>
      </c>
      <c r="AI38" s="379">
        <f>SUMIFS(OB_Act[Volume (BCM)],OB_Act[Day],Actual!AI$3,OB_Act[Dump Area],"Alternatif_Nursery",OB_Act[Material],$E38)</f>
        <v>0</v>
      </c>
      <c r="AJ38" s="379">
        <f>SUMIFS(OB_Act[Volume (BCM)],OB_Act[Day],Actual!AJ$3,OB_Act[Dump Area],"Alternatif_Nursery",OB_Act[Material],$E38)</f>
        <v>0</v>
      </c>
      <c r="AK38" s="415">
        <f>SUM(F38:AJ38)</f>
        <v>0</v>
      </c>
      <c r="AL38" s="408">
        <f>HLOOKUP(LEFT(Summary!D3,2),Actual!F3:AJ47,30,FALSE)</f>
        <v>0</v>
      </c>
      <c r="AM38" s="219"/>
    </row>
    <row r="39" spans="1:46" ht="14.25" customHeight="1">
      <c r="A39" s="372"/>
      <c r="B39" s="976"/>
      <c r="C39" s="961"/>
      <c r="D39" s="963"/>
      <c r="E39" s="364" t="s">
        <v>107</v>
      </c>
      <c r="F39" s="379">
        <f>SUMIFS(OB_Act[Volume (BCM)],OB_Act[Day],Actual!F$3,OB_Act[Dump Area],"Alternatif_Nursery",OB_Act[Material],$E39)</f>
        <v>0</v>
      </c>
      <c r="G39" s="379">
        <f>SUMIFS(OB_Act[Volume (BCM)],OB_Act[Day],Actual!G$3,OB_Act[Dump Area],"Alternatif_Nursery",OB_Act[Material],$E39)</f>
        <v>0</v>
      </c>
      <c r="H39" s="379">
        <f>SUMIFS(OB_Act[Volume (BCM)],OB_Act[Day],Actual!H$3,OB_Act[Dump Area],"Alternatif_Nursery",OB_Act[Material],$E39)</f>
        <v>0</v>
      </c>
      <c r="I39" s="379">
        <f>SUMIFS(OB_Act[Volume (BCM)],OB_Act[Day],Actual!I$3,OB_Act[Dump Area],"Alternatif_Nursery",OB_Act[Material],$E39)</f>
        <v>0</v>
      </c>
      <c r="J39" s="379">
        <f>SUMIFS(OB_Act[Volume (BCM)],OB_Act[Day],Actual!J$3,OB_Act[Dump Area],"Alternatif_Nursery",OB_Act[Material],$E39)</f>
        <v>0</v>
      </c>
      <c r="K39" s="379">
        <f>SUMIFS(OB_Act[Volume (BCM)],OB_Act[Day],Actual!K$3,OB_Act[Dump Area],"Alternatif_Nursery",OB_Act[Material],$E39)</f>
        <v>0</v>
      </c>
      <c r="L39" s="379">
        <f>SUMIFS(OB_Act[Volume (BCM)],OB_Act[Day],Actual!L$3,OB_Act[Dump Area],"Alternatif_Nursery",OB_Act[Material],$E39)</f>
        <v>0</v>
      </c>
      <c r="M39" s="379">
        <f>SUMIFS(OB_Act[Volume (BCM)],OB_Act[Day],Actual!M$3,OB_Act[Dump Area],"Alternatif_Nursery",OB_Act[Material],$E39)</f>
        <v>0</v>
      </c>
      <c r="N39" s="379">
        <f>SUMIFS(OB_Act[Volume (BCM)],OB_Act[Day],Actual!N$3,OB_Act[Dump Area],"Alternatif_Nursery",OB_Act[Material],$E39)</f>
        <v>0</v>
      </c>
      <c r="O39" s="379">
        <f>SUMIFS(OB_Act[Volume (BCM)],OB_Act[Day],Actual!O$3,OB_Act[Dump Area],"Alternatif_Nursery",OB_Act[Material],$E39)</f>
        <v>0</v>
      </c>
      <c r="P39" s="379">
        <f>SUMIFS(OB_Act[Volume (BCM)],OB_Act[Day],Actual!P$3,OB_Act[Dump Area],"Alternatif_Nursery",OB_Act[Material],$E39)</f>
        <v>0</v>
      </c>
      <c r="Q39" s="379">
        <f>SUMIFS(OB_Act[Volume (BCM)],OB_Act[Day],Actual!Q$3,OB_Act[Dump Area],"Alternatif_Nursery",OB_Act[Material],$E39)</f>
        <v>0</v>
      </c>
      <c r="R39" s="379">
        <f>SUMIFS(OB_Act[Volume (BCM)],OB_Act[Day],Actual!R$3,OB_Act[Dump Area],"Alternatif_Nursery",OB_Act[Material],$E39)</f>
        <v>0</v>
      </c>
      <c r="S39" s="379">
        <f>SUMIFS(OB_Act[Volume (BCM)],OB_Act[Day],Actual!S$3,OB_Act[Dump Area],"Alternatif_Nursery",OB_Act[Material],$E39)</f>
        <v>0</v>
      </c>
      <c r="T39" s="379">
        <f>SUMIFS(OB_Act[Volume (BCM)],OB_Act[Day],Actual!T$3,OB_Act[Dump Area],"Alternatif_Nursery",OB_Act[Material],$E39)</f>
        <v>0</v>
      </c>
      <c r="U39" s="379">
        <f>SUMIFS(OB_Act[Volume (BCM)],OB_Act[Day],Actual!U$3,OB_Act[Dump Area],"Alternatif_Nursery",OB_Act[Material],$E39)</f>
        <v>0</v>
      </c>
      <c r="V39" s="379">
        <f>SUMIFS(OB_Act[Volume (BCM)],OB_Act[Day],Actual!V$3,OB_Act[Dump Area],"Alternatif_Nursery",OB_Act[Material],$E39)</f>
        <v>0</v>
      </c>
      <c r="W39" s="379">
        <f>SUMIFS(OB_Act[Volume (BCM)],OB_Act[Day],Actual!W$3,OB_Act[Dump Area],"Alternatif_Nursery",OB_Act[Material],$E39)</f>
        <v>0</v>
      </c>
      <c r="X39" s="379">
        <f>SUMIFS(OB_Act[Volume (BCM)],OB_Act[Day],Actual!X$3,OB_Act[Dump Area],"Alternatif_Nursery",OB_Act[Material],$E39)</f>
        <v>0</v>
      </c>
      <c r="Y39" s="379">
        <f>SUMIFS(OB_Act[Volume (BCM)],OB_Act[Day],Actual!Y$3,OB_Act[Dump Area],"Alternatif_Nursery",OB_Act[Material],$E39)</f>
        <v>0</v>
      </c>
      <c r="Z39" s="379">
        <f>SUMIFS(OB_Act[Volume (BCM)],OB_Act[Day],Actual!Z$3,OB_Act[Dump Area],"Alternatif_Nursery",OB_Act[Material],$E39)</f>
        <v>0</v>
      </c>
      <c r="AA39" s="379">
        <f>SUMIFS(OB_Act[Volume (BCM)],OB_Act[Day],Actual!AA$3,OB_Act[Dump Area],"Alternatif_Nursery",OB_Act[Material],$E39)</f>
        <v>0</v>
      </c>
      <c r="AB39" s="379">
        <f>SUMIFS(OB_Act[Volume (BCM)],OB_Act[Day],Actual!AB$3,OB_Act[Dump Area],"Alternatif_Nursery",OB_Act[Material],$E39)</f>
        <v>0</v>
      </c>
      <c r="AC39" s="379">
        <f>SUMIFS(OB_Act[Volume (BCM)],OB_Act[Day],Actual!AC$3,OB_Act[Dump Area],"Alternatif_Nursery",OB_Act[Material],$E39)</f>
        <v>0</v>
      </c>
      <c r="AD39" s="379">
        <f>SUMIFS(OB_Act[Volume (BCM)],OB_Act[Day],Actual!AD$3,OB_Act[Dump Area],"Alternatif_Nursery",OB_Act[Material],$E39)</f>
        <v>0</v>
      </c>
      <c r="AE39" s="379">
        <f>SUMIFS(OB_Act[Volume (BCM)],OB_Act[Day],Actual!AE$3,OB_Act[Dump Area],"Alternatif_Nursery",OB_Act[Material],$E39)</f>
        <v>0</v>
      </c>
      <c r="AF39" s="379">
        <f>SUMIFS(OB_Act[Volume (BCM)],OB_Act[Day],Actual!AF$3,OB_Act[Dump Area],"Alternatif_Nursery",OB_Act[Material],$E39)</f>
        <v>0</v>
      </c>
      <c r="AG39" s="379">
        <f>SUMIFS(OB_Act[Volume (BCM)],OB_Act[Day],Actual!AG$3,OB_Act[Dump Area],"Alternatif_Nursery",OB_Act[Material],$E39)</f>
        <v>0</v>
      </c>
      <c r="AH39" s="379">
        <f>SUMIFS(OB_Act[Volume (BCM)],OB_Act[Day],Actual!AH$3,OB_Act[Dump Area],"Alternatif_Nursery",OB_Act[Material],$E39)</f>
        <v>0</v>
      </c>
      <c r="AI39" s="379">
        <f>SUMIFS(OB_Act[Volume (BCM)],OB_Act[Day],Actual!AI$3,OB_Act[Dump Area],"Alternatif_Nursery",OB_Act[Material],$E39)</f>
        <v>0</v>
      </c>
      <c r="AJ39" s="379">
        <f>SUMIFS(OB_Act[Volume (BCM)],OB_Act[Day],Actual!AJ$3,OB_Act[Dump Area],"Alternatif_Nursery",OB_Act[Material],$E39)</f>
        <v>0</v>
      </c>
      <c r="AK39" s="417">
        <f>SUM(F39:AJ39)</f>
        <v>0</v>
      </c>
      <c r="AL39" s="408">
        <f>HLOOKUP(LEFT(Summary!D3,2),Actual!F3:AJ47,31,FALSE)</f>
        <v>0</v>
      </c>
      <c r="AM39" s="219"/>
    </row>
    <row r="40" spans="1:46" ht="14.25" customHeight="1">
      <c r="A40" s="372"/>
      <c r="B40" s="976"/>
      <c r="C40" s="961"/>
      <c r="D40" s="963"/>
      <c r="E40" s="364" t="s">
        <v>108</v>
      </c>
      <c r="F40" s="379">
        <f>SUMIFS(OB_Act[Volume (BCM)],OB_Act[Day],Actual!F$3,OB_Act[Dump Area],"Alternatif_Nursery",OB_Act[Material],$E40)</f>
        <v>0</v>
      </c>
      <c r="G40" s="379">
        <f>SUMIFS(OB_Act[Volume (BCM)],OB_Act[Day],Actual!G$3,OB_Act[Dump Area],"Alternatif_Nursery",OB_Act[Material],$E40)</f>
        <v>0</v>
      </c>
      <c r="H40" s="379">
        <f>SUMIFS(OB_Act[Volume (BCM)],OB_Act[Day],Actual!H$3,OB_Act[Dump Area],"Alternatif_Nursery",OB_Act[Material],$E40)</f>
        <v>0</v>
      </c>
      <c r="I40" s="379">
        <f>SUMIFS(OB_Act[Volume (BCM)],OB_Act[Day],Actual!I$3,OB_Act[Dump Area],"Alternatif_Nursery",OB_Act[Material],$E40)</f>
        <v>0</v>
      </c>
      <c r="J40" s="379">
        <f>SUMIFS(OB_Act[Volume (BCM)],OB_Act[Day],Actual!J$3,OB_Act[Dump Area],"Alternatif_Nursery",OB_Act[Material],$E40)</f>
        <v>0</v>
      </c>
      <c r="K40" s="379">
        <f>SUMIFS(OB_Act[Volume (BCM)],OB_Act[Day],Actual!K$3,OB_Act[Dump Area],"Alternatif_Nursery",OB_Act[Material],$E40)</f>
        <v>0</v>
      </c>
      <c r="L40" s="379">
        <f>SUMIFS(OB_Act[Volume (BCM)],OB_Act[Day],Actual!L$3,OB_Act[Dump Area],"Alternatif_Nursery",OB_Act[Material],$E40)</f>
        <v>0</v>
      </c>
      <c r="M40" s="379">
        <f>SUMIFS(OB_Act[Volume (BCM)],OB_Act[Day],Actual!M$3,OB_Act[Dump Area],"Alternatif_Nursery",OB_Act[Material],$E40)</f>
        <v>0</v>
      </c>
      <c r="N40" s="379">
        <f>SUMIFS(OB_Act[Volume (BCM)],OB_Act[Day],Actual!N$3,OB_Act[Dump Area],"Alternatif_Nursery",OB_Act[Material],$E40)</f>
        <v>0</v>
      </c>
      <c r="O40" s="379">
        <f>SUMIFS(OB_Act[Volume (BCM)],OB_Act[Day],Actual!O$3,OB_Act[Dump Area],"Alternatif_Nursery",OB_Act[Material],$E40)</f>
        <v>0</v>
      </c>
      <c r="P40" s="379">
        <f>SUMIFS(OB_Act[Volume (BCM)],OB_Act[Day],Actual!P$3,OB_Act[Dump Area],"Alternatif_Nursery",OB_Act[Material],$E40)</f>
        <v>0</v>
      </c>
      <c r="Q40" s="379">
        <f>SUMIFS(OB_Act[Volume (BCM)],OB_Act[Day],Actual!Q$3,OB_Act[Dump Area],"Alternatif_Nursery",OB_Act[Material],$E40)</f>
        <v>0</v>
      </c>
      <c r="R40" s="379">
        <f>SUMIFS(OB_Act[Volume (BCM)],OB_Act[Day],Actual!R$3,OB_Act[Dump Area],"Alternatif_Nursery",OB_Act[Material],$E40)</f>
        <v>0</v>
      </c>
      <c r="S40" s="379">
        <f>SUMIFS(OB_Act[Volume (BCM)],OB_Act[Day],Actual!S$3,OB_Act[Dump Area],"Alternatif_Nursery",OB_Act[Material],$E40)</f>
        <v>0</v>
      </c>
      <c r="T40" s="379">
        <f>SUMIFS(OB_Act[Volume (BCM)],OB_Act[Day],Actual!T$3,OB_Act[Dump Area],"Alternatif_Nursery",OB_Act[Material],$E40)</f>
        <v>0</v>
      </c>
      <c r="U40" s="379">
        <f>SUMIFS(OB_Act[Volume (BCM)],OB_Act[Day],Actual!U$3,OB_Act[Dump Area],"Alternatif_Nursery",OB_Act[Material],$E40)</f>
        <v>0</v>
      </c>
      <c r="V40" s="379">
        <f>SUMIFS(OB_Act[Volume (BCM)],OB_Act[Day],Actual!V$3,OB_Act[Dump Area],"Alternatif_Nursery",OB_Act[Material],$E40)</f>
        <v>0</v>
      </c>
      <c r="W40" s="379">
        <f>SUMIFS(OB_Act[Volume (BCM)],OB_Act[Day],Actual!W$3,OB_Act[Dump Area],"Alternatif_Nursery",OB_Act[Material],$E40)</f>
        <v>0</v>
      </c>
      <c r="X40" s="379">
        <f>SUMIFS(OB_Act[Volume (BCM)],OB_Act[Day],Actual!X$3,OB_Act[Dump Area],"Alternatif_Nursery",OB_Act[Material],$E40)</f>
        <v>0</v>
      </c>
      <c r="Y40" s="379">
        <f>SUMIFS(OB_Act[Volume (BCM)],OB_Act[Day],Actual!Y$3,OB_Act[Dump Area],"Alternatif_Nursery",OB_Act[Material],$E40)</f>
        <v>0</v>
      </c>
      <c r="Z40" s="379">
        <f>SUMIFS(OB_Act[Volume (BCM)],OB_Act[Day],Actual!Z$3,OB_Act[Dump Area],"Alternatif_Nursery",OB_Act[Material],$E40)</f>
        <v>0</v>
      </c>
      <c r="AA40" s="379">
        <f>SUMIFS(OB_Act[Volume (BCM)],OB_Act[Day],Actual!AA$3,OB_Act[Dump Area],"Alternatif_Nursery",OB_Act[Material],$E40)</f>
        <v>0</v>
      </c>
      <c r="AB40" s="379">
        <f>SUMIFS(OB_Act[Volume (BCM)],OB_Act[Day],Actual!AB$3,OB_Act[Dump Area],"Alternatif_Nursery",OB_Act[Material],$E40)</f>
        <v>0</v>
      </c>
      <c r="AC40" s="379">
        <f>SUMIFS(OB_Act[Volume (BCM)],OB_Act[Day],Actual!AC$3,OB_Act[Dump Area],"Alternatif_Nursery",OB_Act[Material],$E40)</f>
        <v>0</v>
      </c>
      <c r="AD40" s="379">
        <f>SUMIFS(OB_Act[Volume (BCM)],OB_Act[Day],Actual!AD$3,OB_Act[Dump Area],"Alternatif_Nursery",OB_Act[Material],$E40)</f>
        <v>0</v>
      </c>
      <c r="AE40" s="379">
        <f>SUMIFS(OB_Act[Volume (BCM)],OB_Act[Day],Actual!AE$3,OB_Act[Dump Area],"Alternatif_Nursery",OB_Act[Material],$E40)</f>
        <v>0</v>
      </c>
      <c r="AF40" s="379">
        <f>SUMIFS(OB_Act[Volume (BCM)],OB_Act[Day],Actual!AF$3,OB_Act[Dump Area],"Alternatif_Nursery",OB_Act[Material],$E40)</f>
        <v>0</v>
      </c>
      <c r="AG40" s="379">
        <f>SUMIFS(OB_Act[Volume (BCM)],OB_Act[Day],Actual!AG$3,OB_Act[Dump Area],"Alternatif_Nursery",OB_Act[Material],$E40)</f>
        <v>0</v>
      </c>
      <c r="AH40" s="379">
        <f>SUMIFS(OB_Act[Volume (BCM)],OB_Act[Day],Actual!AH$3,OB_Act[Dump Area],"Alternatif_Nursery",OB_Act[Material],$E40)</f>
        <v>0</v>
      </c>
      <c r="AI40" s="379">
        <f>SUMIFS(OB_Act[Volume (BCM)],OB_Act[Day],Actual!AI$3,OB_Act[Dump Area],"Alternatif_Nursery",OB_Act[Material],$E40)</f>
        <v>0</v>
      </c>
      <c r="AJ40" s="379">
        <f>SUMIFS(OB_Act[Volume (BCM)],OB_Act[Day],Actual!AJ$3,OB_Act[Dump Area],"Alternatif_Nursery",OB_Act[Material],$E40)</f>
        <v>0</v>
      </c>
      <c r="AK40" s="416">
        <f>SUM(F40:AJ40)</f>
        <v>0</v>
      </c>
      <c r="AL40" s="408"/>
      <c r="AM40" s="219"/>
    </row>
    <row r="41" spans="1:46" ht="14.25" customHeight="1">
      <c r="A41" s="372"/>
      <c r="B41" s="976"/>
      <c r="C41" s="961"/>
      <c r="D41" s="963"/>
      <c r="E41" s="364" t="s">
        <v>109</v>
      </c>
      <c r="F41" s="379">
        <f>SUMIFS(OB_Act[Volume (BCM)],OB_Act[Day],Actual!F$3,OB_Act[Dump Area],"Alternatif_Nursery",OB_Act[Material],$E41)</f>
        <v>424.5</v>
      </c>
      <c r="G41" s="379">
        <f>SUMIFS(OB_Act[Volume (BCM)],OB_Act[Day],Actual!G$3,OB_Act[Dump Area],"Alternatif_Nursery",OB_Act[Material],$E41)</f>
        <v>655.5</v>
      </c>
      <c r="H41" s="379">
        <f>SUMIFS(OB_Act[Volume (BCM)],OB_Act[Day],Actual!H$3,OB_Act[Dump Area],"Alternatif_Nursery",OB_Act[Material],$E41)</f>
        <v>823.5</v>
      </c>
      <c r="I41" s="379">
        <f>SUMIFS(OB_Act[Volume (BCM)],OB_Act[Day],Actual!I$3,OB_Act[Dump Area],"Alternatif_Nursery",OB_Act[Material],$E41)</f>
        <v>472.5</v>
      </c>
      <c r="J41" s="379">
        <f>SUMIFS(OB_Act[Volume (BCM)],OB_Act[Day],Actual!J$3,OB_Act[Dump Area],"Alternatif_Nursery",OB_Act[Material],$E41)</f>
        <v>769.5</v>
      </c>
      <c r="K41" s="379">
        <f>SUMIFS(OB_Act[Volume (BCM)],OB_Act[Day],Actual!K$3,OB_Act[Dump Area],"Alternatif_Nursery",OB_Act[Material],$E41)</f>
        <v>0</v>
      </c>
      <c r="L41" s="379">
        <f>SUMIFS(OB_Act[Volume (BCM)],OB_Act[Day],Actual!L$3,OB_Act[Dump Area],"Alternatif_Nursery",OB_Act[Material],$E41)</f>
        <v>634.5</v>
      </c>
      <c r="M41" s="379">
        <f>SUMIFS(OB_Act[Volume (BCM)],OB_Act[Day],Actual!M$3,OB_Act[Dump Area],"Alternatif_Nursery",OB_Act[Material],$E41)</f>
        <v>0</v>
      </c>
      <c r="N41" s="379">
        <f>SUMIFS(OB_Act[Volume (BCM)],OB_Act[Day],Actual!N$3,OB_Act[Dump Area],"Alternatif_Nursery",OB_Act[Material],$E41)</f>
        <v>0</v>
      </c>
      <c r="O41" s="379">
        <f>SUMIFS(OB_Act[Volume (BCM)],OB_Act[Day],Actual!O$3,OB_Act[Dump Area],"Alternatif_Nursery",OB_Act[Material],$E41)</f>
        <v>0</v>
      </c>
      <c r="P41" s="379">
        <f>SUMIFS(OB_Act[Volume (BCM)],OB_Act[Day],Actual!P$3,OB_Act[Dump Area],"Alternatif_Nursery",OB_Act[Material],$E41)</f>
        <v>0</v>
      </c>
      <c r="Q41" s="379">
        <f>SUMIFS(OB_Act[Volume (BCM)],OB_Act[Day],Actual!Q$3,OB_Act[Dump Area],"Alternatif_Nursery",OB_Act[Material],$E41)</f>
        <v>0</v>
      </c>
      <c r="R41" s="379">
        <f>SUMIFS(OB_Act[Volume (BCM)],OB_Act[Day],Actual!R$3,OB_Act[Dump Area],"Alternatif_Nursery",OB_Act[Material],$E41)</f>
        <v>0</v>
      </c>
      <c r="S41" s="379">
        <f>SUMIFS(OB_Act[Volume (BCM)],OB_Act[Day],Actual!S$3,OB_Act[Dump Area],"Alternatif_Nursery",OB_Act[Material],$E41)</f>
        <v>0</v>
      </c>
      <c r="T41" s="379">
        <f>SUMIFS(OB_Act[Volume (BCM)],OB_Act[Day],Actual!T$3,OB_Act[Dump Area],"Alternatif_Nursery",OB_Act[Material],$E41)</f>
        <v>0</v>
      </c>
      <c r="U41" s="379">
        <f>SUMIFS(OB_Act[Volume (BCM)],OB_Act[Day],Actual!U$3,OB_Act[Dump Area],"Alternatif_Nursery",OB_Act[Material],$E41)</f>
        <v>0</v>
      </c>
      <c r="V41" s="379">
        <f>SUMIFS(OB_Act[Volume (BCM)],OB_Act[Day],Actual!V$3,OB_Act[Dump Area],"Alternatif_Nursery",OB_Act[Material],$E41)</f>
        <v>0</v>
      </c>
      <c r="W41" s="379">
        <f>SUMIFS(OB_Act[Volume (BCM)],OB_Act[Day],Actual!W$3,OB_Act[Dump Area],"Alternatif_Nursery",OB_Act[Material],$E41)</f>
        <v>0</v>
      </c>
      <c r="X41" s="379">
        <f>SUMIFS(OB_Act[Volume (BCM)],OB_Act[Day],Actual!X$3,OB_Act[Dump Area],"Alternatif_Nursery",OB_Act[Material],$E41)</f>
        <v>0</v>
      </c>
      <c r="Y41" s="379">
        <f>SUMIFS(OB_Act[Volume (BCM)],OB_Act[Day],Actual!Y$3,OB_Act[Dump Area],"Alternatif_Nursery",OB_Act[Material],$E41)</f>
        <v>0</v>
      </c>
      <c r="Z41" s="379">
        <f>SUMIFS(OB_Act[Volume (BCM)],OB_Act[Day],Actual!Z$3,OB_Act[Dump Area],"Alternatif_Nursery",OB_Act[Material],$E41)</f>
        <v>0</v>
      </c>
      <c r="AA41" s="379">
        <f>SUMIFS(OB_Act[Volume (BCM)],OB_Act[Day],Actual!AA$3,OB_Act[Dump Area],"Alternatif_Nursery",OB_Act[Material],$E41)</f>
        <v>0</v>
      </c>
      <c r="AB41" s="379">
        <f>SUMIFS(OB_Act[Volume (BCM)],OB_Act[Day],Actual!AB$3,OB_Act[Dump Area],"Alternatif_Nursery",OB_Act[Material],$E41)</f>
        <v>0</v>
      </c>
      <c r="AC41" s="379">
        <f>SUMIFS(OB_Act[Volume (BCM)],OB_Act[Day],Actual!AC$3,OB_Act[Dump Area],"Alternatif_Nursery",OB_Act[Material],$E41)</f>
        <v>0</v>
      </c>
      <c r="AD41" s="379">
        <f>SUMIFS(OB_Act[Volume (BCM)],OB_Act[Day],Actual!AD$3,OB_Act[Dump Area],"Alternatif_Nursery",OB_Act[Material],$E41)</f>
        <v>0</v>
      </c>
      <c r="AE41" s="379">
        <f>SUMIFS(OB_Act[Volume (BCM)],OB_Act[Day],Actual!AE$3,OB_Act[Dump Area],"Alternatif_Nursery",OB_Act[Material],$E41)</f>
        <v>0</v>
      </c>
      <c r="AF41" s="379">
        <f>SUMIFS(OB_Act[Volume (BCM)],OB_Act[Day],Actual!AF$3,OB_Act[Dump Area],"Alternatif_Nursery",OB_Act[Material],$E41)</f>
        <v>0</v>
      </c>
      <c r="AG41" s="379">
        <f>SUMIFS(OB_Act[Volume (BCM)],OB_Act[Day],Actual!AG$3,OB_Act[Dump Area],"Alternatif_Nursery",OB_Act[Material],$E41)</f>
        <v>0</v>
      </c>
      <c r="AH41" s="379">
        <f>SUMIFS(OB_Act[Volume (BCM)],OB_Act[Day],Actual!AH$3,OB_Act[Dump Area],"Alternatif_Nursery",OB_Act[Material],$E41)</f>
        <v>0</v>
      </c>
      <c r="AI41" s="379">
        <f>SUMIFS(OB_Act[Volume (BCM)],OB_Act[Day],Actual!AI$3,OB_Act[Dump Area],"Alternatif_Nursery",OB_Act[Material],$E41)</f>
        <v>0</v>
      </c>
      <c r="AJ41" s="379">
        <f>SUMIFS(OB_Act[Volume (BCM)],OB_Act[Day],Actual!AJ$3,OB_Act[Dump Area],"Alternatif_Nursery",OB_Act[Material],$E41)</f>
        <v>0</v>
      </c>
      <c r="AK41" s="417">
        <f>SUM(F41:AJ41)</f>
        <v>3780</v>
      </c>
      <c r="AL41" s="408">
        <f>HLOOKUP(LEFT(Summary!D3,2),Actual!F3:AJ47,32,FALSE)</f>
        <v>0</v>
      </c>
      <c r="AM41" s="219"/>
    </row>
    <row r="42" spans="1:46" ht="14.25" customHeight="1">
      <c r="A42" s="372"/>
      <c r="B42" s="977"/>
      <c r="C42" s="964"/>
      <c r="D42" s="966"/>
      <c r="E42" s="366" t="s">
        <v>98</v>
      </c>
      <c r="F42" s="367">
        <f t="shared" ref="F42:AK42" si="7">SUM(F38:F41)</f>
        <v>424.5</v>
      </c>
      <c r="G42" s="367">
        <f t="shared" si="7"/>
        <v>655.5</v>
      </c>
      <c r="H42" s="367">
        <f t="shared" si="7"/>
        <v>823.5</v>
      </c>
      <c r="I42" s="367">
        <f t="shared" si="7"/>
        <v>472.5</v>
      </c>
      <c r="J42" s="367">
        <f t="shared" si="7"/>
        <v>769.5</v>
      </c>
      <c r="K42" s="367">
        <f t="shared" si="7"/>
        <v>0</v>
      </c>
      <c r="L42" s="367">
        <f t="shared" si="7"/>
        <v>634.5</v>
      </c>
      <c r="M42" s="367">
        <f t="shared" si="7"/>
        <v>0</v>
      </c>
      <c r="N42" s="367">
        <f t="shared" si="7"/>
        <v>0</v>
      </c>
      <c r="O42" s="367">
        <f t="shared" si="7"/>
        <v>0</v>
      </c>
      <c r="P42" s="367">
        <f t="shared" si="7"/>
        <v>0</v>
      </c>
      <c r="Q42" s="367">
        <f t="shared" si="7"/>
        <v>0</v>
      </c>
      <c r="R42" s="367">
        <f t="shared" si="7"/>
        <v>0</v>
      </c>
      <c r="S42" s="367">
        <f t="shared" si="7"/>
        <v>0</v>
      </c>
      <c r="T42" s="367">
        <f t="shared" si="7"/>
        <v>0</v>
      </c>
      <c r="U42" s="367">
        <f t="shared" si="7"/>
        <v>0</v>
      </c>
      <c r="V42" s="367">
        <f t="shared" si="7"/>
        <v>0</v>
      </c>
      <c r="W42" s="367">
        <f t="shared" si="7"/>
        <v>0</v>
      </c>
      <c r="X42" s="367">
        <f t="shared" si="7"/>
        <v>0</v>
      </c>
      <c r="Y42" s="367">
        <f t="shared" si="7"/>
        <v>0</v>
      </c>
      <c r="Z42" s="367">
        <f t="shared" si="7"/>
        <v>0</v>
      </c>
      <c r="AA42" s="367">
        <f t="shared" si="7"/>
        <v>0</v>
      </c>
      <c r="AB42" s="367">
        <f t="shared" si="7"/>
        <v>0</v>
      </c>
      <c r="AC42" s="367">
        <f t="shared" si="7"/>
        <v>0</v>
      </c>
      <c r="AD42" s="367">
        <f t="shared" si="7"/>
        <v>0</v>
      </c>
      <c r="AE42" s="367">
        <f t="shared" si="7"/>
        <v>0</v>
      </c>
      <c r="AF42" s="367">
        <f t="shared" si="7"/>
        <v>0</v>
      </c>
      <c r="AG42" s="367">
        <f t="shared" si="7"/>
        <v>0</v>
      </c>
      <c r="AH42" s="367">
        <f t="shared" si="7"/>
        <v>0</v>
      </c>
      <c r="AI42" s="367">
        <f t="shared" si="7"/>
        <v>0</v>
      </c>
      <c r="AJ42" s="367">
        <f t="shared" si="7"/>
        <v>0</v>
      </c>
      <c r="AK42" s="423">
        <f t="shared" si="7"/>
        <v>3780</v>
      </c>
      <c r="AL42" s="424">
        <f>HLOOKUP(LEFT(Summary!D3,2),Actual!F3:AJ47,33,FALSE)</f>
        <v>0</v>
      </c>
      <c r="AM42" s="219">
        <f>HLOOKUP(LEFT(Summary!D3,2),Actual!F3:AJ52,40,FALSE)</f>
        <v>634.5</v>
      </c>
      <c r="AN42" s="231">
        <f>HLOOKUP(LEFT(Summary!D3,2),Actual!F37:AJ42,6,FALSE)</f>
        <v>634.5</v>
      </c>
    </row>
    <row r="43" spans="1:46" ht="15" customHeight="1">
      <c r="A43" s="372"/>
      <c r="B43" s="380"/>
      <c r="C43" s="958" t="s">
        <v>587</v>
      </c>
      <c r="D43" s="960"/>
      <c r="E43" s="361" t="s">
        <v>106</v>
      </c>
      <c r="F43" s="379">
        <f>SUMIFS(OB_Act[Volume (BCM)],OB_Act[Day],Actual!F$3,OB_Act[Dump Area],"M45C",OB_Act[Material],$E43)</f>
        <v>0</v>
      </c>
      <c r="G43" s="379">
        <f>SUMIFS(OB_Act[Volume (BCM)],OB_Act[Day],Actual!G$3,OB_Act[Dump Area],"M45C",OB_Act[Material],$E43)</f>
        <v>0</v>
      </c>
      <c r="H43" s="379">
        <f>SUMIFS(OB_Act[Volume (BCM)],OB_Act[Day],Actual!H$3,OB_Act[Dump Area],"M45C",OB_Act[Material],$E43)</f>
        <v>108</v>
      </c>
      <c r="I43" s="379">
        <f>SUMIFS(OB_Act[Volume (BCM)],OB_Act[Day],Actual!I$3,OB_Act[Dump Area],"M45C",OB_Act[Material],$E43)</f>
        <v>0</v>
      </c>
      <c r="J43" s="379">
        <f>SUMIFS(OB_Act[Volume (BCM)],OB_Act[Day],Actual!J$3,OB_Act[Dump Area],"M45C",OB_Act[Material],$E43)</f>
        <v>0</v>
      </c>
      <c r="K43" s="379">
        <f>SUMIFS(OB_Act[Volume (BCM)],OB_Act[Day],Actual!K$3,OB_Act[Dump Area],"M45C",OB_Act[Material],$E43)</f>
        <v>0</v>
      </c>
      <c r="L43" s="379">
        <f>SUMIFS(OB_Act[Volume (BCM)],OB_Act[Day],Actual!L$3,OB_Act[Dump Area],"M45C",OB_Act[Material],$E43)</f>
        <v>0</v>
      </c>
      <c r="M43" s="379">
        <f>SUMIFS(OB_Act[Volume (BCM)],OB_Act[Day],Actual!M$3,OB_Act[Dump Area],"M45C",OB_Act[Material],$E43)</f>
        <v>0</v>
      </c>
      <c r="N43" s="379">
        <f>SUMIFS(OB_Act[Volume (BCM)],OB_Act[Day],Actual!N$3,OB_Act[Dump Area],"M45C",OB_Act[Material],$E43)</f>
        <v>0</v>
      </c>
      <c r="O43" s="379">
        <f>SUMIFS(OB_Act[Volume (BCM)],OB_Act[Day],Actual!O$3,OB_Act[Dump Area],"M45C",OB_Act[Material],$E43)</f>
        <v>0</v>
      </c>
      <c r="P43" s="379">
        <f>SUMIFS(OB_Act[Volume (BCM)],OB_Act[Day],Actual!P$3,OB_Act[Dump Area],"M45C",OB_Act[Material],$E43)</f>
        <v>0</v>
      </c>
      <c r="Q43" s="379">
        <f>SUMIFS(OB_Act[Volume (BCM)],OB_Act[Day],Actual!Q$3,OB_Act[Dump Area],"M45C",OB_Act[Material],$E43)</f>
        <v>0</v>
      </c>
      <c r="R43" s="379">
        <f>SUMIFS(OB_Act[Volume (BCM)],OB_Act[Day],Actual!R$3,OB_Act[Dump Area],"M45C",OB_Act[Material],$E43)</f>
        <v>0</v>
      </c>
      <c r="S43" s="379">
        <f>SUMIFS(OB_Act[Volume (BCM)],OB_Act[Day],Actual!S$3,OB_Act[Dump Area],"M45C",OB_Act[Material],$E43)</f>
        <v>0</v>
      </c>
      <c r="T43" s="379">
        <f>SUMIFS(OB_Act[Volume (BCM)],OB_Act[Day],Actual!T$3,OB_Act[Dump Area],"M45C",OB_Act[Material],$E43)</f>
        <v>0</v>
      </c>
      <c r="U43" s="379">
        <f>SUMIFS(OB_Act[Volume (BCM)],OB_Act[Day],Actual!U$3,OB_Act[Dump Area],"M45C",OB_Act[Material],$E43)</f>
        <v>0</v>
      </c>
      <c r="V43" s="379">
        <f>SUMIFS(OB_Act[Volume (BCM)],OB_Act[Day],Actual!V$3,OB_Act[Dump Area],"M45C",OB_Act[Material],$E43)</f>
        <v>0</v>
      </c>
      <c r="W43" s="379">
        <f>SUMIFS(OB_Act[Volume (BCM)],OB_Act[Day],Actual!W$3,OB_Act[Dump Area],"M45C",OB_Act[Material],$E43)</f>
        <v>0</v>
      </c>
      <c r="X43" s="379">
        <f>SUMIFS(OB_Act[Volume (BCM)],OB_Act[Day],Actual!X$3,OB_Act[Dump Area],"M45C",OB_Act[Material],$E43)</f>
        <v>0</v>
      </c>
      <c r="Y43" s="379">
        <f>SUMIFS(OB_Act[Volume (BCM)],OB_Act[Day],Actual!Y$3,OB_Act[Dump Area],"M45C",OB_Act[Material],$E43)</f>
        <v>0</v>
      </c>
      <c r="Z43" s="379">
        <f>SUMIFS(OB_Act[Volume (BCM)],OB_Act[Day],Actual!Z$3,OB_Act[Dump Area],"M45C",OB_Act[Material],$E43)</f>
        <v>0</v>
      </c>
      <c r="AA43" s="379">
        <f>SUMIFS(OB_Act[Volume (BCM)],OB_Act[Day],Actual!AA$3,OB_Act[Dump Area],"M45C",OB_Act[Material],$E43)</f>
        <v>0</v>
      </c>
      <c r="AB43" s="379">
        <f>SUMIFS(OB_Act[Volume (BCM)],OB_Act[Day],Actual!AB$3,OB_Act[Dump Area],"M45C",OB_Act[Material],$E43)</f>
        <v>0</v>
      </c>
      <c r="AC43" s="379">
        <f>SUMIFS(OB_Act[Volume (BCM)],OB_Act[Day],Actual!AC$3,OB_Act[Dump Area],"M45C",OB_Act[Material],$E43)</f>
        <v>0</v>
      </c>
      <c r="AD43" s="379">
        <f>SUMIFS(OB_Act[Volume (BCM)],OB_Act[Day],Actual!AD$3,OB_Act[Dump Area],"M45C",OB_Act[Material],$E43)</f>
        <v>0</v>
      </c>
      <c r="AE43" s="379">
        <f>SUMIFS(OB_Act[Volume (BCM)],OB_Act[Day],Actual!AE$3,OB_Act[Dump Area],"M45C",OB_Act[Material],$E43)</f>
        <v>0</v>
      </c>
      <c r="AF43" s="379">
        <f>SUMIFS(OB_Act[Volume (BCM)],OB_Act[Day],Actual!AF$3,OB_Act[Dump Area],"M45C",OB_Act[Material],$E43)</f>
        <v>0</v>
      </c>
      <c r="AG43" s="379">
        <f>SUMIFS(OB_Act[Volume (BCM)],OB_Act[Day],Actual!AG$3,OB_Act[Dump Area],"M45C",OB_Act[Material],$E43)</f>
        <v>0</v>
      </c>
      <c r="AH43" s="379">
        <f>SUMIFS(OB_Act[Volume (BCM)],OB_Act[Day],Actual!AH$3,OB_Act[Dump Area],"M45C",OB_Act[Material],$E43)</f>
        <v>0</v>
      </c>
      <c r="AI43" s="379">
        <f>SUMIFS(OB_Act[Volume (BCM)],OB_Act[Day],Actual!AI$3,OB_Act[Dump Area],"M45C",OB_Act[Material],$E43)</f>
        <v>0</v>
      </c>
      <c r="AJ43" s="379">
        <f>SUMIFS(OB_Act[Volume (BCM)],OB_Act[Day],Actual!AJ$3,OB_Act[Dump Area],"M45C",OB_Act[Material],$E43)</f>
        <v>0</v>
      </c>
      <c r="AK43" s="415">
        <f>SUM(F43:AJ43)</f>
        <v>108</v>
      </c>
      <c r="AL43" s="408">
        <f>HLOOKUP(LEFT(Summary!D3,2),Actual!F3:AJ47,34,FALSE)</f>
        <v>0</v>
      </c>
      <c r="AM43" s="425"/>
      <c r="AN43" s="426"/>
      <c r="AO43" s="426"/>
      <c r="AP43" s="426"/>
      <c r="AQ43" s="426"/>
      <c r="AR43" s="426"/>
      <c r="AS43" s="426"/>
      <c r="AT43" s="426"/>
    </row>
    <row r="44" spans="1:46" ht="15" customHeight="1">
      <c r="A44" s="372"/>
      <c r="B44" s="380"/>
      <c r="C44" s="961"/>
      <c r="D44" s="963"/>
      <c r="E44" s="364" t="s">
        <v>107</v>
      </c>
      <c r="F44" s="379">
        <f>SUMIFS(OB_Act[Volume (BCM)],OB_Act[Day],Actual!F$3,OB_Act[Dump Area],"M45C",OB_Act[Material],$E44)</f>
        <v>0</v>
      </c>
      <c r="G44" s="379">
        <f>SUMIFS(OB_Act[Volume (BCM)],OB_Act[Day],Actual!G$3,OB_Act[Dump Area],"M45C",OB_Act[Material],$E44)</f>
        <v>0</v>
      </c>
      <c r="H44" s="379">
        <f>SUMIFS(OB_Act[Volume (BCM)],OB_Act[Day],Actual!H$3,OB_Act[Dump Area],"M45C",OB_Act[Material],$E44)</f>
        <v>0</v>
      </c>
      <c r="I44" s="379">
        <f>SUMIFS(OB_Act[Volume (BCM)],OB_Act[Day],Actual!I$3,OB_Act[Dump Area],"M45C",OB_Act[Material],$E44)</f>
        <v>0</v>
      </c>
      <c r="J44" s="379">
        <f>SUMIFS(OB_Act[Volume (BCM)],OB_Act[Day],Actual!J$3,OB_Act[Dump Area],"M45C",OB_Act[Material],$E44)</f>
        <v>0</v>
      </c>
      <c r="K44" s="379">
        <f>SUMIFS(OB_Act[Volume (BCM)],OB_Act[Day],Actual!K$3,OB_Act[Dump Area],"M45C",OB_Act[Material],$E44)</f>
        <v>0</v>
      </c>
      <c r="L44" s="379">
        <f>SUMIFS(OB_Act[Volume (BCM)],OB_Act[Day],Actual!L$3,OB_Act[Dump Area],"M45C",OB_Act[Material],$E44)</f>
        <v>0</v>
      </c>
      <c r="M44" s="379">
        <f>SUMIFS(OB_Act[Volume (BCM)],OB_Act[Day],Actual!M$3,OB_Act[Dump Area],"M45C",OB_Act[Material],$E44)</f>
        <v>0</v>
      </c>
      <c r="N44" s="379">
        <f>SUMIFS(OB_Act[Volume (BCM)],OB_Act[Day],Actual!N$3,OB_Act[Dump Area],"M45C",OB_Act[Material],$E44)</f>
        <v>0</v>
      </c>
      <c r="O44" s="379">
        <f>SUMIFS(OB_Act[Volume (BCM)],OB_Act[Day],Actual!O$3,OB_Act[Dump Area],"M45C",OB_Act[Material],$E44)</f>
        <v>0</v>
      </c>
      <c r="P44" s="379">
        <f>SUMIFS(OB_Act[Volume (BCM)],OB_Act[Day],Actual!P$3,OB_Act[Dump Area],"M45C",OB_Act[Material],$E44)</f>
        <v>0</v>
      </c>
      <c r="Q44" s="379">
        <f>SUMIFS(OB_Act[Volume (BCM)],OB_Act[Day],Actual!Q$3,OB_Act[Dump Area],"M45C",OB_Act[Material],$E44)</f>
        <v>0</v>
      </c>
      <c r="R44" s="379">
        <f>SUMIFS(OB_Act[Volume (BCM)],OB_Act[Day],Actual!R$3,OB_Act[Dump Area],"M45C",OB_Act[Material],$E44)</f>
        <v>0</v>
      </c>
      <c r="S44" s="379">
        <f>SUMIFS(OB_Act[Volume (BCM)],OB_Act[Day],Actual!S$3,OB_Act[Dump Area],"M45C",OB_Act[Material],$E44)</f>
        <v>0</v>
      </c>
      <c r="T44" s="379">
        <f>SUMIFS(OB_Act[Volume (BCM)],OB_Act[Day],Actual!T$3,OB_Act[Dump Area],"M45C",OB_Act[Material],$E44)</f>
        <v>0</v>
      </c>
      <c r="U44" s="379">
        <f>SUMIFS(OB_Act[Volume (BCM)],OB_Act[Day],Actual!U$3,OB_Act[Dump Area],"M45C",OB_Act[Material],$E44)</f>
        <v>0</v>
      </c>
      <c r="V44" s="379">
        <f>SUMIFS(OB_Act[Volume (BCM)],OB_Act[Day],Actual!V$3,OB_Act[Dump Area],"M45C",OB_Act[Material],$E44)</f>
        <v>0</v>
      </c>
      <c r="W44" s="379">
        <f>SUMIFS(OB_Act[Volume (BCM)],OB_Act[Day],Actual!W$3,OB_Act[Dump Area],"M45C",OB_Act[Material],$E44)</f>
        <v>0</v>
      </c>
      <c r="X44" s="379">
        <f>SUMIFS(OB_Act[Volume (BCM)],OB_Act[Day],Actual!X$3,OB_Act[Dump Area],"M45C",OB_Act[Material],$E44)</f>
        <v>0</v>
      </c>
      <c r="Y44" s="379">
        <f>SUMIFS(OB_Act[Volume (BCM)],OB_Act[Day],Actual!Y$3,OB_Act[Dump Area],"M45C",OB_Act[Material],$E44)</f>
        <v>0</v>
      </c>
      <c r="Z44" s="379">
        <f>SUMIFS(OB_Act[Volume (BCM)],OB_Act[Day],Actual!Z$3,OB_Act[Dump Area],"M45C",OB_Act[Material],$E44)</f>
        <v>0</v>
      </c>
      <c r="AA44" s="379">
        <f>SUMIFS(OB_Act[Volume (BCM)],OB_Act[Day],Actual!AA$3,OB_Act[Dump Area],"M45C",OB_Act[Material],$E44)</f>
        <v>0</v>
      </c>
      <c r="AB44" s="379">
        <f>SUMIFS(OB_Act[Volume (BCM)],OB_Act[Day],Actual!AB$3,OB_Act[Dump Area],"M45C",OB_Act[Material],$E44)</f>
        <v>0</v>
      </c>
      <c r="AC44" s="379">
        <f>SUMIFS(OB_Act[Volume (BCM)],OB_Act[Day],Actual!AC$3,OB_Act[Dump Area],"M45C",OB_Act[Material],$E44)</f>
        <v>0</v>
      </c>
      <c r="AD44" s="379">
        <f>SUMIFS(OB_Act[Volume (BCM)],OB_Act[Day],Actual!AD$3,OB_Act[Dump Area],"M45C",OB_Act[Material],$E44)</f>
        <v>0</v>
      </c>
      <c r="AE44" s="379">
        <f>SUMIFS(OB_Act[Volume (BCM)],OB_Act[Day],Actual!AE$3,OB_Act[Dump Area],"M45C",OB_Act[Material],$E44)</f>
        <v>0</v>
      </c>
      <c r="AF44" s="379">
        <f>SUMIFS(OB_Act[Volume (BCM)],OB_Act[Day],Actual!AF$3,OB_Act[Dump Area],"M45C",OB_Act[Material],$E44)</f>
        <v>0</v>
      </c>
      <c r="AG44" s="379">
        <f>SUMIFS(OB_Act[Volume (BCM)],OB_Act[Day],Actual!AG$3,OB_Act[Dump Area],"M45C",OB_Act[Material],$E44)</f>
        <v>0</v>
      </c>
      <c r="AH44" s="379">
        <f>SUMIFS(OB_Act[Volume (BCM)],OB_Act[Day],Actual!AH$3,OB_Act[Dump Area],"M45C",OB_Act[Material],$E44)</f>
        <v>0</v>
      </c>
      <c r="AI44" s="379">
        <f>SUMIFS(OB_Act[Volume (BCM)],OB_Act[Day],Actual!AI$3,OB_Act[Dump Area],"M45C",OB_Act[Material],$E44)</f>
        <v>0</v>
      </c>
      <c r="AJ44" s="379">
        <f>SUMIFS(OB_Act[Volume (BCM)],OB_Act[Day],Actual!AJ$3,OB_Act[Dump Area],"M45C",OB_Act[Material],$E44)</f>
        <v>0</v>
      </c>
      <c r="AK44" s="416">
        <f>SUM(F44:AJ44)</f>
        <v>0</v>
      </c>
      <c r="AL44" s="885" t="str">
        <f>HLOOKUP(LEFT(Summary!D3,2),Actual!F3:AJ47,35,FALSE)</f>
        <v>07</v>
      </c>
      <c r="AM44" s="219"/>
    </row>
    <row r="45" spans="1:46" ht="15" customHeight="1">
      <c r="A45" s="372"/>
      <c r="B45" s="380"/>
      <c r="C45" s="961"/>
      <c r="D45" s="963"/>
      <c r="E45" s="364" t="s">
        <v>108</v>
      </c>
      <c r="F45" s="379">
        <f>SUMIFS(OB_Act[Volume (BCM)],OB_Act[Day],Actual!F$3,OB_Act[Dump Area],"M45C",OB_Act[Material],$E45)</f>
        <v>0</v>
      </c>
      <c r="G45" s="379">
        <f>SUMIFS(OB_Act[Volume (BCM)],OB_Act[Day],Actual!G$3,OB_Act[Dump Area],"M45C",OB_Act[Material],$E45)</f>
        <v>0</v>
      </c>
      <c r="H45" s="379">
        <f>SUMIFS(OB_Act[Volume (BCM)],OB_Act[Day],Actual!H$3,OB_Act[Dump Area],"M45C",OB_Act[Material],$E45)</f>
        <v>0</v>
      </c>
      <c r="I45" s="379">
        <f>SUMIFS(OB_Act[Volume (BCM)],OB_Act[Day],Actual!I$3,OB_Act[Dump Area],"M45C",OB_Act[Material],$E45)</f>
        <v>0</v>
      </c>
      <c r="J45" s="379">
        <f>SUMIFS(OB_Act[Volume (BCM)],OB_Act[Day],Actual!J$3,OB_Act[Dump Area],"M45C",OB_Act[Material],$E45)</f>
        <v>0</v>
      </c>
      <c r="K45" s="379">
        <f>SUMIFS(OB_Act[Volume (BCM)],OB_Act[Day],Actual!K$3,OB_Act[Dump Area],"M45C",OB_Act[Material],$E45)</f>
        <v>0</v>
      </c>
      <c r="L45" s="379">
        <f>SUMIFS(OB_Act[Volume (BCM)],OB_Act[Day],Actual!L$3,OB_Act[Dump Area],"M45C",OB_Act[Material],$E45)</f>
        <v>0</v>
      </c>
      <c r="M45" s="379">
        <f>SUMIFS(OB_Act[Volume (BCM)],OB_Act[Day],Actual!M$3,OB_Act[Dump Area],"M45C",OB_Act[Material],$E45)</f>
        <v>0</v>
      </c>
      <c r="N45" s="379">
        <f>SUMIFS(OB_Act[Volume (BCM)],OB_Act[Day],Actual!N$3,OB_Act[Dump Area],"M45C",OB_Act[Material],$E45)</f>
        <v>0</v>
      </c>
      <c r="O45" s="379">
        <f>SUMIFS(OB_Act[Volume (BCM)],OB_Act[Day],Actual!O$3,OB_Act[Dump Area],"M45C",OB_Act[Material],$E45)</f>
        <v>0</v>
      </c>
      <c r="P45" s="379">
        <f>SUMIFS(OB_Act[Volume (BCM)],OB_Act[Day],Actual!P$3,OB_Act[Dump Area],"M45C",OB_Act[Material],$E45)</f>
        <v>0</v>
      </c>
      <c r="Q45" s="379">
        <f>SUMIFS(OB_Act[Volume (BCM)],OB_Act[Day],Actual!Q$3,OB_Act[Dump Area],"M45C",OB_Act[Material],$E45)</f>
        <v>0</v>
      </c>
      <c r="R45" s="379">
        <f>SUMIFS(OB_Act[Volume (BCM)],OB_Act[Day],Actual!R$3,OB_Act[Dump Area],"M45C",OB_Act[Material],$E45)</f>
        <v>0</v>
      </c>
      <c r="S45" s="379">
        <f>SUMIFS(OB_Act[Volume (BCM)],OB_Act[Day],Actual!S$3,OB_Act[Dump Area],"M45C",OB_Act[Material],$E45)</f>
        <v>0</v>
      </c>
      <c r="T45" s="379">
        <f>SUMIFS(OB_Act[Volume (BCM)],OB_Act[Day],Actual!T$3,OB_Act[Dump Area],"M45C",OB_Act[Material],$E45)</f>
        <v>0</v>
      </c>
      <c r="U45" s="379">
        <f>SUMIFS(OB_Act[Volume (BCM)],OB_Act[Day],Actual!U$3,OB_Act[Dump Area],"M45C",OB_Act[Material],$E45)</f>
        <v>0</v>
      </c>
      <c r="V45" s="379">
        <f>SUMIFS(OB_Act[Volume (BCM)],OB_Act[Day],Actual!V$3,OB_Act[Dump Area],"M45C",OB_Act[Material],$E45)</f>
        <v>0</v>
      </c>
      <c r="W45" s="379">
        <f>SUMIFS(OB_Act[Volume (BCM)],OB_Act[Day],Actual!W$3,OB_Act[Dump Area],"M45C",OB_Act[Material],$E45)</f>
        <v>0</v>
      </c>
      <c r="X45" s="379">
        <f>SUMIFS(OB_Act[Volume (BCM)],OB_Act[Day],Actual!X$3,OB_Act[Dump Area],"M45C",OB_Act[Material],$E45)</f>
        <v>0</v>
      </c>
      <c r="Y45" s="379">
        <f>SUMIFS(OB_Act[Volume (BCM)],OB_Act[Day],Actual!Y$3,OB_Act[Dump Area],"M45C",OB_Act[Material],$E45)</f>
        <v>0</v>
      </c>
      <c r="Z45" s="379">
        <f>SUMIFS(OB_Act[Volume (BCM)],OB_Act[Day],Actual!Z$3,OB_Act[Dump Area],"M45C",OB_Act[Material],$E45)</f>
        <v>0</v>
      </c>
      <c r="AA45" s="379">
        <f>SUMIFS(OB_Act[Volume (BCM)],OB_Act[Day],Actual!AA$3,OB_Act[Dump Area],"M45C",OB_Act[Material],$E45)</f>
        <v>0</v>
      </c>
      <c r="AB45" s="379">
        <f>SUMIFS(OB_Act[Volume (BCM)],OB_Act[Day],Actual!AB$3,OB_Act[Dump Area],"M45C",OB_Act[Material],$E45)</f>
        <v>0</v>
      </c>
      <c r="AC45" s="379">
        <f>SUMIFS(OB_Act[Volume (BCM)],OB_Act[Day],Actual!AC$3,OB_Act[Dump Area],"M45C",OB_Act[Material],$E45)</f>
        <v>0</v>
      </c>
      <c r="AD45" s="379">
        <f>SUMIFS(OB_Act[Volume (BCM)],OB_Act[Day],Actual!AD$3,OB_Act[Dump Area],"M45C",OB_Act[Material],$E45)</f>
        <v>0</v>
      </c>
      <c r="AE45" s="379">
        <f>SUMIFS(OB_Act[Volume (BCM)],OB_Act[Day],Actual!AE$3,OB_Act[Dump Area],"M45C",OB_Act[Material],$E45)</f>
        <v>0</v>
      </c>
      <c r="AF45" s="379">
        <f>SUMIFS(OB_Act[Volume (BCM)],OB_Act[Day],Actual!AF$3,OB_Act[Dump Area],"M45C",OB_Act[Material],$E45)</f>
        <v>0</v>
      </c>
      <c r="AG45" s="379">
        <f>SUMIFS(OB_Act[Volume (BCM)],OB_Act[Day],Actual!AG$3,OB_Act[Dump Area],"M45C",OB_Act[Material],$E45)</f>
        <v>0</v>
      </c>
      <c r="AH45" s="379">
        <f>SUMIFS(OB_Act[Volume (BCM)],OB_Act[Day],Actual!AH$3,OB_Act[Dump Area],"M45C",OB_Act[Material],$E45)</f>
        <v>0</v>
      </c>
      <c r="AI45" s="379">
        <f>SUMIFS(OB_Act[Volume (BCM)],OB_Act[Day],Actual!AI$3,OB_Act[Dump Area],"M45C",OB_Act[Material],$E45)</f>
        <v>0</v>
      </c>
      <c r="AJ45" s="379">
        <f>SUMIFS(OB_Act[Volume (BCM)],OB_Act[Day],Actual!AJ$3,OB_Act[Dump Area],"M45C",OB_Act[Material],$E45)</f>
        <v>0</v>
      </c>
      <c r="AK45" s="417"/>
      <c r="AL45" s="427"/>
      <c r="AM45" s="219"/>
    </row>
    <row r="46" spans="1:46" ht="15" customHeight="1">
      <c r="A46" s="372"/>
      <c r="B46" s="380"/>
      <c r="C46" s="961"/>
      <c r="D46" s="963"/>
      <c r="E46" s="364" t="s">
        <v>109</v>
      </c>
      <c r="F46" s="379">
        <f>SUMIFS(OB_Act[Volume (BCM)],OB_Act[Day],Actual!F$3,OB_Act[Dump Area],"M45C",OB_Act[Material],$E46)</f>
        <v>0</v>
      </c>
      <c r="G46" s="379">
        <f>SUMIFS(OB_Act[Volume (BCM)],OB_Act[Day],Actual!G$3,OB_Act[Dump Area],"M45C",OB_Act[Material],$E46)</f>
        <v>261</v>
      </c>
      <c r="H46" s="379">
        <f>SUMIFS(OB_Act[Volume (BCM)],OB_Act[Day],Actual!H$3,OB_Act[Dump Area],"M45C",OB_Act[Material],$E46)</f>
        <v>0</v>
      </c>
      <c r="I46" s="379">
        <f>SUMIFS(OB_Act[Volume (BCM)],OB_Act[Day],Actual!I$3,OB_Act[Dump Area],"M45C",OB_Act[Material],$E46)</f>
        <v>0</v>
      </c>
      <c r="J46" s="379">
        <f>SUMIFS(OB_Act[Volume (BCM)],OB_Act[Day],Actual!J$3,OB_Act[Dump Area],"M45C",OB_Act[Material],$E46)</f>
        <v>661.5</v>
      </c>
      <c r="K46" s="379">
        <f>SUMIFS(OB_Act[Volume (BCM)],OB_Act[Day],Actual!K$3,OB_Act[Dump Area],"M45C",OB_Act[Material],$E46)</f>
        <v>0</v>
      </c>
      <c r="L46" s="379">
        <f>SUMIFS(OB_Act[Volume (BCM)],OB_Act[Day],Actual!L$3,OB_Act[Dump Area],"M45C",OB_Act[Material],$E46)</f>
        <v>0</v>
      </c>
      <c r="M46" s="379">
        <f>SUMIFS(OB_Act[Volume (BCM)],OB_Act[Day],Actual!M$3,OB_Act[Dump Area],"M45C",OB_Act[Material],$E46)</f>
        <v>0</v>
      </c>
      <c r="N46" s="379">
        <f>SUMIFS(OB_Act[Volume (BCM)],OB_Act[Day],Actual!N$3,OB_Act[Dump Area],"M45C",OB_Act[Material],$E46)</f>
        <v>0</v>
      </c>
      <c r="O46" s="379">
        <f>SUMIFS(OB_Act[Volume (BCM)],OB_Act[Day],Actual!O$3,OB_Act[Dump Area],"M45C",OB_Act[Material],$E46)</f>
        <v>0</v>
      </c>
      <c r="P46" s="379">
        <f>SUMIFS(OB_Act[Volume (BCM)],OB_Act[Day],Actual!P$3,OB_Act[Dump Area],"M45C",OB_Act[Material],$E46)</f>
        <v>0</v>
      </c>
      <c r="Q46" s="379">
        <f>SUMIFS(OB_Act[Volume (BCM)],OB_Act[Day],Actual!Q$3,OB_Act[Dump Area],"M45C",OB_Act[Material],$E46)</f>
        <v>0</v>
      </c>
      <c r="R46" s="379">
        <f>SUMIFS(OB_Act[Volume (BCM)],OB_Act[Day],Actual!R$3,OB_Act[Dump Area],"M45C",OB_Act[Material],$E46)</f>
        <v>0</v>
      </c>
      <c r="S46" s="379">
        <f>SUMIFS(OB_Act[Volume (BCM)],OB_Act[Day],Actual!S$3,OB_Act[Dump Area],"M45C",OB_Act[Material],$E46)</f>
        <v>0</v>
      </c>
      <c r="T46" s="379">
        <f>SUMIFS(OB_Act[Volume (BCM)],OB_Act[Day],Actual!T$3,OB_Act[Dump Area],"M45C",OB_Act[Material],$E46)</f>
        <v>0</v>
      </c>
      <c r="U46" s="379">
        <f>SUMIFS(OB_Act[Volume (BCM)],OB_Act[Day],Actual!U$3,OB_Act[Dump Area],"M45C",OB_Act[Material],$E46)</f>
        <v>0</v>
      </c>
      <c r="V46" s="379">
        <f>SUMIFS(OB_Act[Volume (BCM)],OB_Act[Day],Actual!V$3,OB_Act[Dump Area],"M45C",OB_Act[Material],$E46)</f>
        <v>0</v>
      </c>
      <c r="W46" s="379">
        <f>SUMIFS(OB_Act[Volume (BCM)],OB_Act[Day],Actual!W$3,OB_Act[Dump Area],"M45C",OB_Act[Material],$E46)</f>
        <v>0</v>
      </c>
      <c r="X46" s="379">
        <f>SUMIFS(OB_Act[Volume (BCM)],OB_Act[Day],Actual!X$3,OB_Act[Dump Area],"M45C",OB_Act[Material],$E46)</f>
        <v>0</v>
      </c>
      <c r="Y46" s="379">
        <f>SUMIFS(OB_Act[Volume (BCM)],OB_Act[Day],Actual!Y$3,OB_Act[Dump Area],"M45C",OB_Act[Material],$E46)</f>
        <v>0</v>
      </c>
      <c r="Z46" s="379">
        <f>SUMIFS(OB_Act[Volume (BCM)],OB_Act[Day],Actual!Z$3,OB_Act[Dump Area],"M45C",OB_Act[Material],$E46)</f>
        <v>0</v>
      </c>
      <c r="AA46" s="379">
        <f>SUMIFS(OB_Act[Volume (BCM)],OB_Act[Day],Actual!AA$3,OB_Act[Dump Area],"M45C",OB_Act[Material],$E46)</f>
        <v>0</v>
      </c>
      <c r="AB46" s="379">
        <f>SUMIFS(OB_Act[Volume (BCM)],OB_Act[Day],Actual!AB$3,OB_Act[Dump Area],"M45C",OB_Act[Material],$E46)</f>
        <v>0</v>
      </c>
      <c r="AC46" s="379">
        <f>SUMIFS(OB_Act[Volume (BCM)],OB_Act[Day],Actual!AC$3,OB_Act[Dump Area],"M45C",OB_Act[Material],$E46)</f>
        <v>0</v>
      </c>
      <c r="AD46" s="379">
        <f>SUMIFS(OB_Act[Volume (BCM)],OB_Act[Day],Actual!AD$3,OB_Act[Dump Area],"M45C",OB_Act[Material],$E46)</f>
        <v>0</v>
      </c>
      <c r="AE46" s="379">
        <f>SUMIFS(OB_Act[Volume (BCM)],OB_Act[Day],Actual!AE$3,OB_Act[Dump Area],"M45C",OB_Act[Material],$E46)</f>
        <v>0</v>
      </c>
      <c r="AF46" s="379">
        <f>SUMIFS(OB_Act[Volume (BCM)],OB_Act[Day],Actual!AF$3,OB_Act[Dump Area],"M45C",OB_Act[Material],$E46)</f>
        <v>0</v>
      </c>
      <c r="AG46" s="379">
        <f>SUMIFS(OB_Act[Volume (BCM)],OB_Act[Day],Actual!AG$3,OB_Act[Dump Area],"M45C",OB_Act[Material],$E46)</f>
        <v>0</v>
      </c>
      <c r="AH46" s="379">
        <f>SUMIFS(OB_Act[Volume (BCM)],OB_Act[Day],Actual!AH$3,OB_Act[Dump Area],"M45C",OB_Act[Material],$E46)</f>
        <v>0</v>
      </c>
      <c r="AI46" s="379">
        <f>SUMIFS(OB_Act[Volume (BCM)],OB_Act[Day],Actual!AI$3,OB_Act[Dump Area],"M45C",OB_Act[Material],$E46)</f>
        <v>0</v>
      </c>
      <c r="AJ46" s="379">
        <f>SUMIFS(OB_Act[Volume (BCM)],OB_Act[Day],Actual!AJ$3,OB_Act[Dump Area],"M45C",OB_Act[Material],$E46)</f>
        <v>0</v>
      </c>
      <c r="AK46" s="417">
        <f>SUM(F46:AJ46)</f>
        <v>922.5</v>
      </c>
      <c r="AL46" s="408">
        <f>HLOOKUP(LEFT(Summary!D3,2),Actual!F3:AJ47,36,FALSE)</f>
        <v>0</v>
      </c>
      <c r="AM46" s="219"/>
      <c r="AT46" s="219">
        <v>19764</v>
      </c>
    </row>
    <row r="47" spans="1:46" ht="15" customHeight="1">
      <c r="A47" s="372"/>
      <c r="B47" s="380"/>
      <c r="C47" s="964"/>
      <c r="D47" s="966"/>
      <c r="E47" s="366" t="s">
        <v>110</v>
      </c>
      <c r="F47" s="369">
        <f>SUM(F43:F46)</f>
        <v>0</v>
      </c>
      <c r="G47" s="369">
        <f>SUM(G43:G46)</f>
        <v>261</v>
      </c>
      <c r="H47" s="369">
        <f t="shared" ref="H47:AJ47" si="8">SUM(H43:H46)</f>
        <v>108</v>
      </c>
      <c r="I47" s="369">
        <f t="shared" si="8"/>
        <v>0</v>
      </c>
      <c r="J47" s="369">
        <f t="shared" si="8"/>
        <v>661.5</v>
      </c>
      <c r="K47" s="369">
        <f t="shared" si="8"/>
        <v>0</v>
      </c>
      <c r="L47" s="369">
        <f t="shared" si="8"/>
        <v>0</v>
      </c>
      <c r="M47" s="369">
        <f t="shared" si="8"/>
        <v>0</v>
      </c>
      <c r="N47" s="369">
        <f t="shared" si="8"/>
        <v>0</v>
      </c>
      <c r="O47" s="369">
        <f t="shared" si="8"/>
        <v>0</v>
      </c>
      <c r="P47" s="369">
        <f t="shared" si="8"/>
        <v>0</v>
      </c>
      <c r="Q47" s="369">
        <f t="shared" si="8"/>
        <v>0</v>
      </c>
      <c r="R47" s="369">
        <f t="shared" si="8"/>
        <v>0</v>
      </c>
      <c r="S47" s="369">
        <f t="shared" si="8"/>
        <v>0</v>
      </c>
      <c r="T47" s="369">
        <f t="shared" si="8"/>
        <v>0</v>
      </c>
      <c r="U47" s="369">
        <f t="shared" si="8"/>
        <v>0</v>
      </c>
      <c r="V47" s="369">
        <f t="shared" si="8"/>
        <v>0</v>
      </c>
      <c r="W47" s="369">
        <f t="shared" si="8"/>
        <v>0</v>
      </c>
      <c r="X47" s="369">
        <f t="shared" si="8"/>
        <v>0</v>
      </c>
      <c r="Y47" s="369">
        <f t="shared" si="8"/>
        <v>0</v>
      </c>
      <c r="Z47" s="369">
        <f t="shared" si="8"/>
        <v>0</v>
      </c>
      <c r="AA47" s="369">
        <f t="shared" si="8"/>
        <v>0</v>
      </c>
      <c r="AB47" s="369">
        <f t="shared" si="8"/>
        <v>0</v>
      </c>
      <c r="AC47" s="369">
        <f t="shared" si="8"/>
        <v>0</v>
      </c>
      <c r="AD47" s="369">
        <f t="shared" si="8"/>
        <v>0</v>
      </c>
      <c r="AE47" s="369">
        <f t="shared" si="8"/>
        <v>0</v>
      </c>
      <c r="AF47" s="369">
        <f t="shared" si="8"/>
        <v>0</v>
      </c>
      <c r="AG47" s="369">
        <f t="shared" si="8"/>
        <v>0</v>
      </c>
      <c r="AH47" s="369">
        <f t="shared" si="8"/>
        <v>0</v>
      </c>
      <c r="AI47" s="369">
        <f t="shared" si="8"/>
        <v>0</v>
      </c>
      <c r="AJ47" s="369">
        <f t="shared" si="8"/>
        <v>0</v>
      </c>
      <c r="AK47" s="418">
        <f t="shared" ref="AK47" si="9">SUM(AK43:AK46)</f>
        <v>1030.5</v>
      </c>
      <c r="AL47" s="408">
        <f>HLOOKUP(LEFT(Summary!D3,2),Actual!F3:AJ47,37,FALSE)</f>
        <v>0</v>
      </c>
      <c r="AM47" s="221">
        <f>HLOOKUP(LEFT(Summary!D3,2),Actual!F3:AJ52,45,FALSE)</f>
        <v>0</v>
      </c>
      <c r="AT47" s="219">
        <v>6547.5</v>
      </c>
    </row>
    <row r="48" spans="1:46">
      <c r="A48" s="372"/>
      <c r="B48" s="958" t="s">
        <v>114</v>
      </c>
      <c r="C48" s="959"/>
      <c r="D48" s="960"/>
      <c r="E48" s="381" t="s">
        <v>95</v>
      </c>
      <c r="F48" s="382">
        <f t="shared" ref="F48:W48" si="10">F27+F22+F17+F12+F32+F38+F43</f>
        <v>0</v>
      </c>
      <c r="G48" s="382">
        <f t="shared" si="10"/>
        <v>513</v>
      </c>
      <c r="H48" s="382">
        <f t="shared" si="10"/>
        <v>1107</v>
      </c>
      <c r="I48" s="382">
        <f t="shared" si="10"/>
        <v>877.5</v>
      </c>
      <c r="J48" s="382">
        <f t="shared" si="10"/>
        <v>1147.5</v>
      </c>
      <c r="K48" s="382">
        <f t="shared" si="10"/>
        <v>0</v>
      </c>
      <c r="L48" s="382">
        <f t="shared" si="10"/>
        <v>1174.5</v>
      </c>
      <c r="M48" s="382">
        <f t="shared" si="10"/>
        <v>0</v>
      </c>
      <c r="N48" s="382">
        <f t="shared" si="10"/>
        <v>0</v>
      </c>
      <c r="O48" s="382">
        <f t="shared" si="10"/>
        <v>0</v>
      </c>
      <c r="P48" s="382">
        <f t="shared" si="10"/>
        <v>0</v>
      </c>
      <c r="Q48" s="382">
        <f t="shared" si="10"/>
        <v>0</v>
      </c>
      <c r="R48" s="382">
        <f t="shared" si="10"/>
        <v>0</v>
      </c>
      <c r="S48" s="382">
        <f t="shared" si="10"/>
        <v>0</v>
      </c>
      <c r="T48" s="382">
        <f t="shared" si="10"/>
        <v>0</v>
      </c>
      <c r="U48" s="382">
        <f t="shared" si="10"/>
        <v>0</v>
      </c>
      <c r="V48" s="382">
        <f t="shared" si="10"/>
        <v>0</v>
      </c>
      <c r="W48" s="382">
        <f t="shared" si="10"/>
        <v>0</v>
      </c>
      <c r="X48" s="382">
        <f t="shared" ref="X48:AJ48" si="11">X27+X22+X17+X12+X32+X38+X43</f>
        <v>0</v>
      </c>
      <c r="Y48" s="382">
        <f t="shared" si="11"/>
        <v>0</v>
      </c>
      <c r="Z48" s="382">
        <f t="shared" si="11"/>
        <v>0</v>
      </c>
      <c r="AA48" s="382">
        <f t="shared" si="11"/>
        <v>0</v>
      </c>
      <c r="AB48" s="382">
        <f t="shared" si="11"/>
        <v>0</v>
      </c>
      <c r="AC48" s="382">
        <f t="shared" si="11"/>
        <v>0</v>
      </c>
      <c r="AD48" s="382">
        <f t="shared" si="11"/>
        <v>0</v>
      </c>
      <c r="AE48" s="382">
        <f t="shared" si="11"/>
        <v>0</v>
      </c>
      <c r="AF48" s="382">
        <f t="shared" si="11"/>
        <v>0</v>
      </c>
      <c r="AG48" s="382">
        <f t="shared" si="11"/>
        <v>0</v>
      </c>
      <c r="AH48" s="382">
        <f t="shared" si="11"/>
        <v>0</v>
      </c>
      <c r="AI48" s="382">
        <f t="shared" si="11"/>
        <v>0</v>
      </c>
      <c r="AJ48" s="382">
        <f t="shared" si="11"/>
        <v>0</v>
      </c>
      <c r="AK48" s="382">
        <f>SUM(F48:AJ48)</f>
        <v>4819.5</v>
      </c>
      <c r="AL48" s="428">
        <f>AL4+AL8+AL12+AL17+AL22+AL27+AL32+AL38+AL43</f>
        <v>0</v>
      </c>
      <c r="AM48" s="221"/>
      <c r="AT48" s="221">
        <f>SUM(AT46:AT47)</f>
        <v>26311.5</v>
      </c>
    </row>
    <row r="49" spans="1:43">
      <c r="A49" s="372"/>
      <c r="B49" s="961"/>
      <c r="C49" s="962"/>
      <c r="D49" s="963"/>
      <c r="E49" s="383" t="s">
        <v>96</v>
      </c>
      <c r="F49" s="384">
        <f>F28+F23+F18+F13+F33+F39</f>
        <v>0</v>
      </c>
      <c r="G49" s="384">
        <f t="shared" ref="G49:AJ49" si="12">G28+G23+G18+G13+G33+G39</f>
        <v>0</v>
      </c>
      <c r="H49" s="384">
        <f t="shared" si="12"/>
        <v>0</v>
      </c>
      <c r="I49" s="384">
        <f t="shared" si="12"/>
        <v>0</v>
      </c>
      <c r="J49" s="384">
        <f t="shared" si="12"/>
        <v>0</v>
      </c>
      <c r="K49" s="384">
        <f t="shared" si="12"/>
        <v>0</v>
      </c>
      <c r="L49" s="384">
        <f t="shared" si="12"/>
        <v>0</v>
      </c>
      <c r="M49" s="384">
        <f t="shared" si="12"/>
        <v>0</v>
      </c>
      <c r="N49" s="384">
        <f t="shared" si="12"/>
        <v>0</v>
      </c>
      <c r="O49" s="384">
        <f t="shared" si="12"/>
        <v>0</v>
      </c>
      <c r="P49" s="384">
        <f t="shared" si="12"/>
        <v>0</v>
      </c>
      <c r="Q49" s="384">
        <f t="shared" si="12"/>
        <v>0</v>
      </c>
      <c r="R49" s="384">
        <f t="shared" si="12"/>
        <v>0</v>
      </c>
      <c r="S49" s="384">
        <f t="shared" si="12"/>
        <v>0</v>
      </c>
      <c r="T49" s="384">
        <f t="shared" si="12"/>
        <v>0</v>
      </c>
      <c r="U49" s="384">
        <f t="shared" si="12"/>
        <v>0</v>
      </c>
      <c r="V49" s="384">
        <f t="shared" si="12"/>
        <v>0</v>
      </c>
      <c r="W49" s="384">
        <f t="shared" si="12"/>
        <v>0</v>
      </c>
      <c r="X49" s="384">
        <f t="shared" si="12"/>
        <v>0</v>
      </c>
      <c r="Y49" s="384">
        <f t="shared" si="12"/>
        <v>0</v>
      </c>
      <c r="Z49" s="384">
        <f t="shared" si="12"/>
        <v>0</v>
      </c>
      <c r="AA49" s="384">
        <f t="shared" si="12"/>
        <v>0</v>
      </c>
      <c r="AB49" s="384">
        <f t="shared" si="12"/>
        <v>0</v>
      </c>
      <c r="AC49" s="384">
        <f t="shared" si="12"/>
        <v>0</v>
      </c>
      <c r="AD49" s="384">
        <f t="shared" si="12"/>
        <v>0</v>
      </c>
      <c r="AE49" s="384">
        <f t="shared" si="12"/>
        <v>0</v>
      </c>
      <c r="AF49" s="384">
        <f t="shared" si="12"/>
        <v>0</v>
      </c>
      <c r="AG49" s="384">
        <f t="shared" si="12"/>
        <v>0</v>
      </c>
      <c r="AH49" s="384">
        <f t="shared" si="12"/>
        <v>0</v>
      </c>
      <c r="AI49" s="384">
        <f t="shared" si="12"/>
        <v>0</v>
      </c>
      <c r="AJ49" s="384">
        <f t="shared" si="12"/>
        <v>0</v>
      </c>
      <c r="AK49" s="429">
        <f>SUM(F49:AJ49)</f>
        <v>0</v>
      </c>
      <c r="AL49" s="430">
        <f>AL5+AL9+AL13+AL18+AL23+AL28+AL33+AL39+AL44</f>
        <v>7</v>
      </c>
    </row>
    <row r="50" spans="1:43">
      <c r="A50" s="372"/>
      <c r="B50" s="961"/>
      <c r="C50" s="962"/>
      <c r="D50" s="963"/>
      <c r="E50" s="383" t="s">
        <v>102</v>
      </c>
      <c r="F50" s="384">
        <f>F29+F24+F19+F14+F34+F40</f>
        <v>0</v>
      </c>
      <c r="G50" s="384">
        <f t="shared" ref="G50:AJ50" si="13">G29+G24+G19+G14+G34+G40</f>
        <v>0</v>
      </c>
      <c r="H50" s="384">
        <f t="shared" si="13"/>
        <v>0</v>
      </c>
      <c r="I50" s="384">
        <f t="shared" si="13"/>
        <v>0</v>
      </c>
      <c r="J50" s="384">
        <f t="shared" si="13"/>
        <v>0</v>
      </c>
      <c r="K50" s="384">
        <f t="shared" si="13"/>
        <v>0</v>
      </c>
      <c r="L50" s="384">
        <f t="shared" si="13"/>
        <v>0</v>
      </c>
      <c r="M50" s="384">
        <f t="shared" si="13"/>
        <v>0</v>
      </c>
      <c r="N50" s="384">
        <f t="shared" si="13"/>
        <v>0</v>
      </c>
      <c r="O50" s="384">
        <f t="shared" si="13"/>
        <v>0</v>
      </c>
      <c r="P50" s="384">
        <f t="shared" si="13"/>
        <v>0</v>
      </c>
      <c r="Q50" s="384">
        <f t="shared" si="13"/>
        <v>0</v>
      </c>
      <c r="R50" s="384">
        <f t="shared" si="13"/>
        <v>0</v>
      </c>
      <c r="S50" s="384">
        <f t="shared" si="13"/>
        <v>0</v>
      </c>
      <c r="T50" s="384">
        <f t="shared" si="13"/>
        <v>0</v>
      </c>
      <c r="U50" s="384">
        <f t="shared" si="13"/>
        <v>0</v>
      </c>
      <c r="V50" s="384">
        <f t="shared" si="13"/>
        <v>0</v>
      </c>
      <c r="W50" s="384">
        <f t="shared" si="13"/>
        <v>0</v>
      </c>
      <c r="X50" s="384">
        <f t="shared" si="13"/>
        <v>0</v>
      </c>
      <c r="Y50" s="384">
        <f t="shared" si="13"/>
        <v>0</v>
      </c>
      <c r="Z50" s="384">
        <f t="shared" si="13"/>
        <v>0</v>
      </c>
      <c r="AA50" s="384">
        <f t="shared" si="13"/>
        <v>0</v>
      </c>
      <c r="AB50" s="384">
        <f t="shared" si="13"/>
        <v>0</v>
      </c>
      <c r="AC50" s="384">
        <f t="shared" si="13"/>
        <v>0</v>
      </c>
      <c r="AD50" s="384">
        <f t="shared" si="13"/>
        <v>0</v>
      </c>
      <c r="AE50" s="384">
        <f t="shared" si="13"/>
        <v>0</v>
      </c>
      <c r="AF50" s="384">
        <f t="shared" si="13"/>
        <v>0</v>
      </c>
      <c r="AG50" s="384">
        <f t="shared" si="13"/>
        <v>0</v>
      </c>
      <c r="AH50" s="384">
        <f t="shared" si="13"/>
        <v>0</v>
      </c>
      <c r="AI50" s="384">
        <f t="shared" si="13"/>
        <v>0</v>
      </c>
      <c r="AJ50" s="384">
        <f t="shared" si="13"/>
        <v>0</v>
      </c>
      <c r="AK50" s="429">
        <f>SUM(F50:AJ50)</f>
        <v>0</v>
      </c>
      <c r="AL50" s="430"/>
    </row>
    <row r="51" spans="1:43">
      <c r="A51" s="372"/>
      <c r="B51" s="961"/>
      <c r="C51" s="962"/>
      <c r="D51" s="963"/>
      <c r="E51" s="385" t="s">
        <v>97</v>
      </c>
      <c r="F51" s="384">
        <f>F30+F25+F20+F15+F41+F35</f>
        <v>424.5</v>
      </c>
      <c r="G51" s="384">
        <f t="shared" ref="G51:AJ51" si="14">G30+G25+G20+G15+G41+G35</f>
        <v>655.5</v>
      </c>
      <c r="H51" s="384">
        <f t="shared" si="14"/>
        <v>823.5</v>
      </c>
      <c r="I51" s="384">
        <f t="shared" si="14"/>
        <v>472.5</v>
      </c>
      <c r="J51" s="384">
        <f t="shared" si="14"/>
        <v>769.5</v>
      </c>
      <c r="K51" s="384">
        <f t="shared" si="14"/>
        <v>0</v>
      </c>
      <c r="L51" s="384">
        <f t="shared" si="14"/>
        <v>634.5</v>
      </c>
      <c r="M51" s="384">
        <f t="shared" si="14"/>
        <v>0</v>
      </c>
      <c r="N51" s="384">
        <f t="shared" si="14"/>
        <v>0</v>
      </c>
      <c r="O51" s="384">
        <f t="shared" si="14"/>
        <v>0</v>
      </c>
      <c r="P51" s="384">
        <f t="shared" si="14"/>
        <v>0</v>
      </c>
      <c r="Q51" s="384">
        <f t="shared" si="14"/>
        <v>0</v>
      </c>
      <c r="R51" s="384">
        <f t="shared" si="14"/>
        <v>0</v>
      </c>
      <c r="S51" s="384">
        <f t="shared" si="14"/>
        <v>0</v>
      </c>
      <c r="T51" s="384">
        <f t="shared" si="14"/>
        <v>0</v>
      </c>
      <c r="U51" s="384">
        <f t="shared" si="14"/>
        <v>0</v>
      </c>
      <c r="V51" s="384">
        <f t="shared" si="14"/>
        <v>0</v>
      </c>
      <c r="W51" s="384">
        <f t="shared" si="14"/>
        <v>0</v>
      </c>
      <c r="X51" s="384">
        <f t="shared" si="14"/>
        <v>0</v>
      </c>
      <c r="Y51" s="384">
        <f t="shared" si="14"/>
        <v>0</v>
      </c>
      <c r="Z51" s="384">
        <f t="shared" si="14"/>
        <v>0</v>
      </c>
      <c r="AA51" s="384">
        <f t="shared" si="14"/>
        <v>0</v>
      </c>
      <c r="AB51" s="384">
        <f t="shared" si="14"/>
        <v>0</v>
      </c>
      <c r="AC51" s="384">
        <f t="shared" si="14"/>
        <v>0</v>
      </c>
      <c r="AD51" s="384">
        <f t="shared" si="14"/>
        <v>0</v>
      </c>
      <c r="AE51" s="384">
        <f t="shared" si="14"/>
        <v>0</v>
      </c>
      <c r="AF51" s="384">
        <f t="shared" si="14"/>
        <v>0</v>
      </c>
      <c r="AG51" s="384">
        <f t="shared" si="14"/>
        <v>0</v>
      </c>
      <c r="AH51" s="384">
        <f t="shared" si="14"/>
        <v>0</v>
      </c>
      <c r="AI51" s="384">
        <f t="shared" si="14"/>
        <v>0</v>
      </c>
      <c r="AJ51" s="384">
        <f t="shared" si="14"/>
        <v>0</v>
      </c>
      <c r="AK51" s="431">
        <f>SUM(F51:AJ51)</f>
        <v>3780</v>
      </c>
      <c r="AL51" s="432">
        <f>AL6+AL10+AL15+AL20+AL24+AL30+AL35+AL41+AL46</f>
        <v>0</v>
      </c>
    </row>
    <row r="52" spans="1:43" s="354" customFormat="1">
      <c r="A52" s="372"/>
      <c r="B52" s="964"/>
      <c r="C52" s="965"/>
      <c r="D52" s="966"/>
      <c r="E52" s="386" t="s">
        <v>98</v>
      </c>
      <c r="F52" s="387">
        <f>SUM(F48:F51)</f>
        <v>424.5</v>
      </c>
      <c r="G52" s="387">
        <f t="shared" ref="G52:AL52" si="15">SUM(G48:G51)</f>
        <v>1168.5</v>
      </c>
      <c r="H52" s="387">
        <f t="shared" si="15"/>
        <v>1930.5</v>
      </c>
      <c r="I52" s="387">
        <f t="shared" si="15"/>
        <v>1350</v>
      </c>
      <c r="J52" s="387">
        <f t="shared" si="15"/>
        <v>1917</v>
      </c>
      <c r="K52" s="387">
        <f t="shared" si="15"/>
        <v>0</v>
      </c>
      <c r="L52" s="387">
        <f t="shared" si="15"/>
        <v>1809</v>
      </c>
      <c r="M52" s="387">
        <f t="shared" si="15"/>
        <v>0</v>
      </c>
      <c r="N52" s="387">
        <f t="shared" si="15"/>
        <v>0</v>
      </c>
      <c r="O52" s="387">
        <f t="shared" si="15"/>
        <v>0</v>
      </c>
      <c r="P52" s="387">
        <f t="shared" si="15"/>
        <v>0</v>
      </c>
      <c r="Q52" s="387">
        <f t="shared" si="15"/>
        <v>0</v>
      </c>
      <c r="R52" s="387">
        <f t="shared" si="15"/>
        <v>0</v>
      </c>
      <c r="S52" s="387">
        <f t="shared" si="15"/>
        <v>0</v>
      </c>
      <c r="T52" s="387">
        <f t="shared" si="15"/>
        <v>0</v>
      </c>
      <c r="U52" s="387">
        <f t="shared" si="15"/>
        <v>0</v>
      </c>
      <c r="V52" s="387">
        <f t="shared" si="15"/>
        <v>0</v>
      </c>
      <c r="W52" s="387">
        <f t="shared" si="15"/>
        <v>0</v>
      </c>
      <c r="X52" s="387">
        <f t="shared" si="15"/>
        <v>0</v>
      </c>
      <c r="Y52" s="387">
        <f t="shared" si="15"/>
        <v>0</v>
      </c>
      <c r="Z52" s="387">
        <f t="shared" si="15"/>
        <v>0</v>
      </c>
      <c r="AA52" s="387">
        <f t="shared" si="15"/>
        <v>0</v>
      </c>
      <c r="AB52" s="387">
        <f t="shared" si="15"/>
        <v>0</v>
      </c>
      <c r="AC52" s="387">
        <f t="shared" si="15"/>
        <v>0</v>
      </c>
      <c r="AD52" s="387">
        <f t="shared" si="15"/>
        <v>0</v>
      </c>
      <c r="AE52" s="387">
        <f t="shared" si="15"/>
        <v>0</v>
      </c>
      <c r="AF52" s="387">
        <f t="shared" si="15"/>
        <v>0</v>
      </c>
      <c r="AG52" s="387">
        <f t="shared" si="15"/>
        <v>0</v>
      </c>
      <c r="AH52" s="387">
        <f t="shared" si="15"/>
        <v>0</v>
      </c>
      <c r="AI52" s="387">
        <f t="shared" si="15"/>
        <v>0</v>
      </c>
      <c r="AJ52" s="387">
        <f t="shared" si="15"/>
        <v>0</v>
      </c>
      <c r="AK52" s="387">
        <f t="shared" si="15"/>
        <v>8599.5</v>
      </c>
      <c r="AL52" s="433">
        <f t="shared" si="15"/>
        <v>7</v>
      </c>
      <c r="AM52" s="419">
        <f>HLOOKUP(LEFT(Summary!D3,2),Actual!F3:AJ52,49,FALSE)</f>
        <v>634.5</v>
      </c>
      <c r="AQ52" s="442"/>
    </row>
    <row r="53" spans="1:43" ht="8.25" customHeight="1">
      <c r="B53" s="235"/>
      <c r="AQ53" s="221"/>
    </row>
    <row r="54" spans="1:43" ht="15.75" hidden="1" customHeight="1">
      <c r="B54" s="235"/>
      <c r="C54" s="886" t="s">
        <v>115</v>
      </c>
      <c r="D54" s="388"/>
      <c r="AQ54" s="221"/>
    </row>
    <row r="55" spans="1:43" ht="15.75" hidden="1" customHeight="1">
      <c r="B55" s="235"/>
      <c r="C55" s="357" t="s">
        <v>60</v>
      </c>
      <c r="D55" s="357"/>
      <c r="E55" s="358">
        <f>E3</f>
        <v>30</v>
      </c>
      <c r="F55" s="883" t="s">
        <v>61</v>
      </c>
      <c r="G55" s="883" t="s">
        <v>62</v>
      </c>
      <c r="H55" s="883" t="s">
        <v>63</v>
      </c>
      <c r="I55" s="883" t="s">
        <v>64</v>
      </c>
      <c r="J55" s="883" t="s">
        <v>65</v>
      </c>
      <c r="K55" s="883" t="s">
        <v>66</v>
      </c>
      <c r="L55" s="883" t="s">
        <v>67</v>
      </c>
      <c r="M55" s="883" t="s">
        <v>68</v>
      </c>
      <c r="N55" s="883" t="s">
        <v>69</v>
      </c>
      <c r="O55" s="883" t="s">
        <v>70</v>
      </c>
      <c r="P55" s="883" t="s">
        <v>71</v>
      </c>
      <c r="Q55" s="883" t="s">
        <v>72</v>
      </c>
      <c r="R55" s="883" t="s">
        <v>73</v>
      </c>
      <c r="S55" s="883" t="s">
        <v>74</v>
      </c>
      <c r="T55" s="883" t="s">
        <v>75</v>
      </c>
      <c r="U55" s="883" t="s">
        <v>76</v>
      </c>
      <c r="V55" s="883" t="s">
        <v>77</v>
      </c>
      <c r="W55" s="883" t="s">
        <v>78</v>
      </c>
      <c r="X55" s="883" t="s">
        <v>79</v>
      </c>
      <c r="Y55" s="883" t="s">
        <v>80</v>
      </c>
      <c r="Z55" s="883" t="s">
        <v>81</v>
      </c>
      <c r="AA55" s="883" t="s">
        <v>82</v>
      </c>
      <c r="AB55" s="883" t="s">
        <v>83</v>
      </c>
      <c r="AC55" s="883" t="s">
        <v>84</v>
      </c>
      <c r="AD55" s="883" t="s">
        <v>85</v>
      </c>
      <c r="AE55" s="883" t="s">
        <v>86</v>
      </c>
      <c r="AF55" s="883" t="s">
        <v>87</v>
      </c>
      <c r="AG55" s="883" t="s">
        <v>88</v>
      </c>
      <c r="AH55" s="883" t="s">
        <v>89</v>
      </c>
      <c r="AI55" s="883" t="s">
        <v>90</v>
      </c>
      <c r="AJ55" s="883" t="s">
        <v>91</v>
      </c>
      <c r="AK55" s="434" t="s">
        <v>116</v>
      </c>
      <c r="AL55" s="406" t="s">
        <v>93</v>
      </c>
      <c r="AQ55" s="221"/>
    </row>
    <row r="56" spans="1:43" ht="15.75" hidden="1" customHeight="1">
      <c r="B56" s="235"/>
      <c r="C56" s="984" t="s">
        <v>117</v>
      </c>
      <c r="D56" s="389"/>
      <c r="E56" s="361" t="s">
        <v>95</v>
      </c>
      <c r="F56" s="390">
        <v>0</v>
      </c>
      <c r="G56" s="390">
        <v>0</v>
      </c>
      <c r="H56" s="390">
        <v>0</v>
      </c>
      <c r="I56" s="390">
        <v>0</v>
      </c>
      <c r="J56" s="390">
        <v>0</v>
      </c>
      <c r="K56" s="390">
        <v>0</v>
      </c>
      <c r="L56" s="390">
        <v>0</v>
      </c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0"/>
      <c r="AB56" s="390"/>
      <c r="AC56" s="390"/>
      <c r="AD56" s="390"/>
      <c r="AE56" s="390">
        <v>0</v>
      </c>
      <c r="AF56" s="390">
        <v>0</v>
      </c>
      <c r="AG56" s="390">
        <v>0</v>
      </c>
      <c r="AH56" s="390">
        <v>0</v>
      </c>
      <c r="AI56" s="390">
        <v>0</v>
      </c>
      <c r="AJ56" s="390">
        <v>0</v>
      </c>
      <c r="AK56" s="435">
        <f>SUM(F56:AJ56)</f>
        <v>0</v>
      </c>
      <c r="AL56" s="436" t="e">
        <f>HLOOKUP(LEFT(Summary!C85,2),Actual!F55:AJ59,2,FALSE)</f>
        <v>#N/A</v>
      </c>
      <c r="AQ56" s="221"/>
    </row>
    <row r="57" spans="1:43" ht="15.75" hidden="1" customHeight="1">
      <c r="B57" s="235"/>
      <c r="C57" s="985"/>
      <c r="D57" s="391"/>
      <c r="E57" s="364" t="s">
        <v>96</v>
      </c>
      <c r="F57" s="392">
        <f>F5+F18+F33+F39</f>
        <v>0</v>
      </c>
      <c r="G57" s="392">
        <f>G5+G18+G33+G39</f>
        <v>0</v>
      </c>
      <c r="H57" s="392"/>
      <c r="I57" s="392"/>
      <c r="J57" s="392"/>
      <c r="K57" s="392"/>
      <c r="L57" s="392"/>
      <c r="M57" s="392"/>
      <c r="N57" s="392"/>
      <c r="O57" s="392"/>
      <c r="P57" s="392"/>
      <c r="Q57" s="392"/>
      <c r="R57" s="392"/>
      <c r="S57" s="392">
        <f>S5+S18+S33+S39</f>
        <v>0</v>
      </c>
      <c r="T57" s="392">
        <f>T5+T18+T33+T39</f>
        <v>0</v>
      </c>
      <c r="U57" s="392">
        <f>U5+U18+U33+U39</f>
        <v>0</v>
      </c>
      <c r="V57" s="392">
        <v>0</v>
      </c>
      <c r="W57" s="392">
        <v>0</v>
      </c>
      <c r="X57" s="392">
        <v>0</v>
      </c>
      <c r="Y57" s="392">
        <v>0</v>
      </c>
      <c r="Z57" s="392">
        <v>0</v>
      </c>
      <c r="AA57" s="392">
        <v>0</v>
      </c>
      <c r="AB57" s="392">
        <v>0</v>
      </c>
      <c r="AC57" s="392">
        <v>0</v>
      </c>
      <c r="AD57" s="392">
        <v>0</v>
      </c>
      <c r="AE57" s="392">
        <v>0</v>
      </c>
      <c r="AF57" s="392">
        <v>0</v>
      </c>
      <c r="AG57" s="392">
        <v>0</v>
      </c>
      <c r="AH57" s="392">
        <v>0</v>
      </c>
      <c r="AI57" s="392">
        <v>0</v>
      </c>
      <c r="AJ57" s="392">
        <v>0</v>
      </c>
      <c r="AK57" s="437">
        <f>SUM(F57:AJ57)</f>
        <v>0</v>
      </c>
      <c r="AL57" s="438"/>
      <c r="AQ57" s="221"/>
    </row>
    <row r="58" spans="1:43" ht="15.75" hidden="1" customHeight="1">
      <c r="B58" s="235"/>
      <c r="C58" s="985"/>
      <c r="D58" s="391"/>
      <c r="E58" s="364" t="s">
        <v>97</v>
      </c>
      <c r="F58" s="393">
        <f>F6+F15+F20+F35+F41</f>
        <v>424.5</v>
      </c>
      <c r="G58" s="393">
        <f>G6+G15+G20+G35+G41</f>
        <v>655.5</v>
      </c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>
        <v>0</v>
      </c>
      <c r="T58" s="393">
        <v>0</v>
      </c>
      <c r="U58" s="393">
        <v>0</v>
      </c>
      <c r="V58" s="393">
        <v>0</v>
      </c>
      <c r="W58" s="393">
        <v>0</v>
      </c>
      <c r="X58" s="393">
        <v>0</v>
      </c>
      <c r="Y58" s="393">
        <v>0</v>
      </c>
      <c r="Z58" s="393">
        <v>0</v>
      </c>
      <c r="AA58" s="393">
        <v>0</v>
      </c>
      <c r="AB58" s="393">
        <v>0</v>
      </c>
      <c r="AC58" s="393">
        <v>0</v>
      </c>
      <c r="AD58" s="393">
        <v>0</v>
      </c>
      <c r="AE58" s="393">
        <v>0</v>
      </c>
      <c r="AF58" s="393">
        <v>0</v>
      </c>
      <c r="AG58" s="393">
        <v>0</v>
      </c>
      <c r="AH58" s="393">
        <v>0</v>
      </c>
      <c r="AI58" s="393">
        <v>0</v>
      </c>
      <c r="AJ58" s="393">
        <v>0</v>
      </c>
      <c r="AK58" s="439">
        <f>SUM(F58:AJ58)</f>
        <v>1080</v>
      </c>
      <c r="AL58" s="438"/>
      <c r="AQ58" s="221"/>
    </row>
    <row r="59" spans="1:43" ht="15.75" hidden="1" customHeight="1">
      <c r="B59" s="235"/>
      <c r="C59" s="986"/>
      <c r="D59" s="394"/>
      <c r="E59" s="395" t="s">
        <v>98</v>
      </c>
      <c r="F59" s="396">
        <f t="shared" ref="F59:AK59" si="16">SUM(F56:F58)</f>
        <v>424.5</v>
      </c>
      <c r="G59" s="396">
        <f t="shared" si="16"/>
        <v>655.5</v>
      </c>
      <c r="H59" s="396">
        <f t="shared" si="16"/>
        <v>0</v>
      </c>
      <c r="I59" s="396">
        <f t="shared" si="16"/>
        <v>0</v>
      </c>
      <c r="J59" s="396">
        <f t="shared" si="16"/>
        <v>0</v>
      </c>
      <c r="K59" s="396">
        <f t="shared" si="16"/>
        <v>0</v>
      </c>
      <c r="L59" s="396">
        <f t="shared" si="16"/>
        <v>0</v>
      </c>
      <c r="M59" s="396">
        <f t="shared" si="16"/>
        <v>0</v>
      </c>
      <c r="N59" s="396">
        <f t="shared" si="16"/>
        <v>0</v>
      </c>
      <c r="O59" s="396">
        <f t="shared" si="16"/>
        <v>0</v>
      </c>
      <c r="P59" s="396">
        <f t="shared" si="16"/>
        <v>0</v>
      </c>
      <c r="Q59" s="396">
        <f t="shared" si="16"/>
        <v>0</v>
      </c>
      <c r="R59" s="396">
        <f t="shared" si="16"/>
        <v>0</v>
      </c>
      <c r="S59" s="396">
        <f t="shared" si="16"/>
        <v>0</v>
      </c>
      <c r="T59" s="396">
        <f t="shared" si="16"/>
        <v>0</v>
      </c>
      <c r="U59" s="396">
        <f t="shared" si="16"/>
        <v>0</v>
      </c>
      <c r="V59" s="396">
        <f t="shared" si="16"/>
        <v>0</v>
      </c>
      <c r="W59" s="396">
        <f t="shared" si="16"/>
        <v>0</v>
      </c>
      <c r="X59" s="396">
        <f t="shared" si="16"/>
        <v>0</v>
      </c>
      <c r="Y59" s="396">
        <f t="shared" si="16"/>
        <v>0</v>
      </c>
      <c r="Z59" s="396">
        <f t="shared" si="16"/>
        <v>0</v>
      </c>
      <c r="AA59" s="396">
        <f t="shared" si="16"/>
        <v>0</v>
      </c>
      <c r="AB59" s="396">
        <f t="shared" si="16"/>
        <v>0</v>
      </c>
      <c r="AC59" s="396">
        <f t="shared" si="16"/>
        <v>0</v>
      </c>
      <c r="AD59" s="396">
        <f t="shared" si="16"/>
        <v>0</v>
      </c>
      <c r="AE59" s="396">
        <f t="shared" si="16"/>
        <v>0</v>
      </c>
      <c r="AF59" s="396">
        <f t="shared" si="16"/>
        <v>0</v>
      </c>
      <c r="AG59" s="396">
        <f t="shared" si="16"/>
        <v>0</v>
      </c>
      <c r="AH59" s="396">
        <f t="shared" si="16"/>
        <v>0</v>
      </c>
      <c r="AI59" s="396">
        <f t="shared" si="16"/>
        <v>0</v>
      </c>
      <c r="AJ59" s="396">
        <f t="shared" si="16"/>
        <v>0</v>
      </c>
      <c r="AK59" s="440">
        <f t="shared" si="16"/>
        <v>1080</v>
      </c>
      <c r="AL59" s="441"/>
      <c r="AQ59" s="221"/>
    </row>
    <row r="60" spans="1:43" ht="15.75" hidden="1" customHeight="1">
      <c r="B60" s="235"/>
      <c r="C60" s="984" t="s">
        <v>118</v>
      </c>
      <c r="D60" s="389"/>
      <c r="E60" s="361" t="s">
        <v>95</v>
      </c>
      <c r="F60" s="397">
        <f t="shared" ref="F60:AJ60" si="17">F12</f>
        <v>0</v>
      </c>
      <c r="G60" s="397">
        <f t="shared" si="17"/>
        <v>0</v>
      </c>
      <c r="H60" s="397">
        <f t="shared" si="17"/>
        <v>0</v>
      </c>
      <c r="I60" s="397">
        <f t="shared" si="17"/>
        <v>0</v>
      </c>
      <c r="J60" s="397">
        <f t="shared" si="17"/>
        <v>0</v>
      </c>
      <c r="K60" s="397">
        <f t="shared" si="17"/>
        <v>0</v>
      </c>
      <c r="L60" s="397">
        <f t="shared" si="17"/>
        <v>0</v>
      </c>
      <c r="M60" s="397">
        <f t="shared" si="17"/>
        <v>0</v>
      </c>
      <c r="N60" s="397">
        <f t="shared" si="17"/>
        <v>0</v>
      </c>
      <c r="O60" s="397">
        <f t="shared" si="17"/>
        <v>0</v>
      </c>
      <c r="P60" s="397">
        <f t="shared" si="17"/>
        <v>0</v>
      </c>
      <c r="Q60" s="397">
        <f t="shared" si="17"/>
        <v>0</v>
      </c>
      <c r="R60" s="397">
        <f t="shared" si="17"/>
        <v>0</v>
      </c>
      <c r="S60" s="397">
        <f t="shared" si="17"/>
        <v>0</v>
      </c>
      <c r="T60" s="397">
        <f t="shared" si="17"/>
        <v>0</v>
      </c>
      <c r="U60" s="397">
        <f t="shared" si="17"/>
        <v>0</v>
      </c>
      <c r="V60" s="397">
        <f t="shared" si="17"/>
        <v>0</v>
      </c>
      <c r="W60" s="397">
        <f t="shared" si="17"/>
        <v>0</v>
      </c>
      <c r="X60" s="397">
        <f t="shared" si="17"/>
        <v>0</v>
      </c>
      <c r="Y60" s="397">
        <f t="shared" si="17"/>
        <v>0</v>
      </c>
      <c r="Z60" s="397">
        <f t="shared" si="17"/>
        <v>0</v>
      </c>
      <c r="AA60" s="397">
        <f t="shared" si="17"/>
        <v>0</v>
      </c>
      <c r="AB60" s="397">
        <f t="shared" si="17"/>
        <v>0</v>
      </c>
      <c r="AC60" s="397">
        <f t="shared" si="17"/>
        <v>0</v>
      </c>
      <c r="AD60" s="397">
        <f t="shared" si="17"/>
        <v>0</v>
      </c>
      <c r="AE60" s="397">
        <f t="shared" si="17"/>
        <v>0</v>
      </c>
      <c r="AF60" s="397">
        <f t="shared" si="17"/>
        <v>0</v>
      </c>
      <c r="AG60" s="397">
        <f t="shared" si="17"/>
        <v>0</v>
      </c>
      <c r="AH60" s="397">
        <f t="shared" si="17"/>
        <v>0</v>
      </c>
      <c r="AI60" s="397">
        <f t="shared" si="17"/>
        <v>0</v>
      </c>
      <c r="AJ60" s="397">
        <f t="shared" si="17"/>
        <v>0</v>
      </c>
      <c r="AK60" s="397">
        <f>SUM(F60:AJ60)</f>
        <v>0</v>
      </c>
      <c r="AL60" s="949">
        <f>SUM(AK60:AK62)</f>
        <v>0</v>
      </c>
      <c r="AQ60" s="221"/>
    </row>
    <row r="61" spans="1:43" ht="15.75" hidden="1" customHeight="1">
      <c r="B61" s="235"/>
      <c r="C61" s="985"/>
      <c r="D61" s="391"/>
      <c r="E61" s="364" t="s">
        <v>96</v>
      </c>
      <c r="F61" s="392">
        <f t="shared" ref="F61:AJ61" si="18">F13</f>
        <v>0</v>
      </c>
      <c r="G61" s="392">
        <f t="shared" si="18"/>
        <v>0</v>
      </c>
      <c r="H61" s="392">
        <f t="shared" si="18"/>
        <v>0</v>
      </c>
      <c r="I61" s="392">
        <f t="shared" si="18"/>
        <v>0</v>
      </c>
      <c r="J61" s="392">
        <f t="shared" si="18"/>
        <v>0</v>
      </c>
      <c r="K61" s="392">
        <f t="shared" si="18"/>
        <v>0</v>
      </c>
      <c r="L61" s="392">
        <f t="shared" si="18"/>
        <v>0</v>
      </c>
      <c r="M61" s="392">
        <f t="shared" si="18"/>
        <v>0</v>
      </c>
      <c r="N61" s="392">
        <f t="shared" si="18"/>
        <v>0</v>
      </c>
      <c r="O61" s="392">
        <f t="shared" si="18"/>
        <v>0</v>
      </c>
      <c r="P61" s="392">
        <f t="shared" si="18"/>
        <v>0</v>
      </c>
      <c r="Q61" s="392">
        <f t="shared" si="18"/>
        <v>0</v>
      </c>
      <c r="R61" s="392">
        <f t="shared" si="18"/>
        <v>0</v>
      </c>
      <c r="S61" s="392">
        <f t="shared" si="18"/>
        <v>0</v>
      </c>
      <c r="T61" s="392">
        <f t="shared" si="18"/>
        <v>0</v>
      </c>
      <c r="U61" s="392">
        <f t="shared" si="18"/>
        <v>0</v>
      </c>
      <c r="V61" s="392">
        <f t="shared" si="18"/>
        <v>0</v>
      </c>
      <c r="W61" s="392">
        <f t="shared" si="18"/>
        <v>0</v>
      </c>
      <c r="X61" s="392">
        <f t="shared" si="18"/>
        <v>0</v>
      </c>
      <c r="Y61" s="392">
        <f t="shared" si="18"/>
        <v>0</v>
      </c>
      <c r="Z61" s="392">
        <f t="shared" si="18"/>
        <v>0</v>
      </c>
      <c r="AA61" s="392">
        <f t="shared" si="18"/>
        <v>0</v>
      </c>
      <c r="AB61" s="392">
        <f t="shared" si="18"/>
        <v>0</v>
      </c>
      <c r="AC61" s="392">
        <f t="shared" si="18"/>
        <v>0</v>
      </c>
      <c r="AD61" s="392">
        <f t="shared" si="18"/>
        <v>0</v>
      </c>
      <c r="AE61" s="392">
        <f t="shared" si="18"/>
        <v>0</v>
      </c>
      <c r="AF61" s="392">
        <f t="shared" si="18"/>
        <v>0</v>
      </c>
      <c r="AG61" s="392">
        <f t="shared" si="18"/>
        <v>0</v>
      </c>
      <c r="AH61" s="392">
        <f t="shared" si="18"/>
        <v>0</v>
      </c>
      <c r="AI61" s="392">
        <f t="shared" si="18"/>
        <v>0</v>
      </c>
      <c r="AJ61" s="392">
        <f t="shared" si="18"/>
        <v>0</v>
      </c>
      <c r="AK61" s="392">
        <f>SUM(F61:AJ61)</f>
        <v>0</v>
      </c>
      <c r="AL61" s="950"/>
      <c r="AQ61" s="221"/>
    </row>
    <row r="62" spans="1:43" ht="15.75" hidden="1" customHeight="1">
      <c r="B62" s="235"/>
      <c r="C62" s="985"/>
      <c r="D62" s="391"/>
      <c r="E62" s="364" t="s">
        <v>97</v>
      </c>
      <c r="F62" s="393">
        <f t="shared" ref="F62:AJ62" si="19">F15</f>
        <v>0</v>
      </c>
      <c r="G62" s="393">
        <f t="shared" si="19"/>
        <v>0</v>
      </c>
      <c r="H62" s="393">
        <f t="shared" si="19"/>
        <v>0</v>
      </c>
      <c r="I62" s="393">
        <f t="shared" si="19"/>
        <v>0</v>
      </c>
      <c r="J62" s="393">
        <f t="shared" si="19"/>
        <v>0</v>
      </c>
      <c r="K62" s="393">
        <f t="shared" si="19"/>
        <v>0</v>
      </c>
      <c r="L62" s="393">
        <f t="shared" si="19"/>
        <v>0</v>
      </c>
      <c r="M62" s="393">
        <f t="shared" si="19"/>
        <v>0</v>
      </c>
      <c r="N62" s="393">
        <f t="shared" si="19"/>
        <v>0</v>
      </c>
      <c r="O62" s="393">
        <f t="shared" si="19"/>
        <v>0</v>
      </c>
      <c r="P62" s="393">
        <f t="shared" si="19"/>
        <v>0</v>
      </c>
      <c r="Q62" s="393">
        <f t="shared" si="19"/>
        <v>0</v>
      </c>
      <c r="R62" s="393">
        <f t="shared" si="19"/>
        <v>0</v>
      </c>
      <c r="S62" s="393">
        <f t="shared" si="19"/>
        <v>0</v>
      </c>
      <c r="T62" s="393">
        <f t="shared" si="19"/>
        <v>0</v>
      </c>
      <c r="U62" s="393">
        <f t="shared" si="19"/>
        <v>0</v>
      </c>
      <c r="V62" s="393">
        <f t="shared" si="19"/>
        <v>0</v>
      </c>
      <c r="W62" s="393">
        <f t="shared" si="19"/>
        <v>0</v>
      </c>
      <c r="X62" s="393">
        <f t="shared" si="19"/>
        <v>0</v>
      </c>
      <c r="Y62" s="393">
        <f t="shared" si="19"/>
        <v>0</v>
      </c>
      <c r="Z62" s="393">
        <f t="shared" si="19"/>
        <v>0</v>
      </c>
      <c r="AA62" s="393">
        <f t="shared" si="19"/>
        <v>0</v>
      </c>
      <c r="AB62" s="393">
        <f t="shared" si="19"/>
        <v>0</v>
      </c>
      <c r="AC62" s="393">
        <f t="shared" si="19"/>
        <v>0</v>
      </c>
      <c r="AD62" s="393">
        <f t="shared" si="19"/>
        <v>0</v>
      </c>
      <c r="AE62" s="393">
        <f t="shared" si="19"/>
        <v>0</v>
      </c>
      <c r="AF62" s="393">
        <f t="shared" si="19"/>
        <v>0</v>
      </c>
      <c r="AG62" s="393">
        <f t="shared" si="19"/>
        <v>0</v>
      </c>
      <c r="AH62" s="393">
        <f t="shared" si="19"/>
        <v>0</v>
      </c>
      <c r="AI62" s="393">
        <f t="shared" si="19"/>
        <v>0</v>
      </c>
      <c r="AJ62" s="393">
        <f t="shared" si="19"/>
        <v>0</v>
      </c>
      <c r="AK62" s="393">
        <f>SUM(F62:AJ62)</f>
        <v>0</v>
      </c>
      <c r="AL62" s="950"/>
      <c r="AQ62" s="221"/>
    </row>
    <row r="63" spans="1:43" ht="15.75" hidden="1" customHeight="1">
      <c r="B63" s="235"/>
      <c r="C63" s="986"/>
      <c r="D63" s="391"/>
      <c r="E63" s="366" t="s">
        <v>98</v>
      </c>
      <c r="F63" s="398">
        <f t="shared" ref="F63:AK63" si="20">SUM(F60:F62)</f>
        <v>0</v>
      </c>
      <c r="G63" s="398">
        <f t="shared" si="20"/>
        <v>0</v>
      </c>
      <c r="H63" s="398">
        <f t="shared" si="20"/>
        <v>0</v>
      </c>
      <c r="I63" s="398">
        <f t="shared" si="20"/>
        <v>0</v>
      </c>
      <c r="J63" s="398">
        <f t="shared" si="20"/>
        <v>0</v>
      </c>
      <c r="K63" s="398">
        <f t="shared" si="20"/>
        <v>0</v>
      </c>
      <c r="L63" s="398">
        <f t="shared" si="20"/>
        <v>0</v>
      </c>
      <c r="M63" s="398">
        <f t="shared" si="20"/>
        <v>0</v>
      </c>
      <c r="N63" s="398">
        <f t="shared" si="20"/>
        <v>0</v>
      </c>
      <c r="O63" s="398">
        <f t="shared" si="20"/>
        <v>0</v>
      </c>
      <c r="P63" s="398">
        <f t="shared" si="20"/>
        <v>0</v>
      </c>
      <c r="Q63" s="398">
        <f t="shared" si="20"/>
        <v>0</v>
      </c>
      <c r="R63" s="398">
        <f t="shared" si="20"/>
        <v>0</v>
      </c>
      <c r="S63" s="398">
        <f t="shared" si="20"/>
        <v>0</v>
      </c>
      <c r="T63" s="398">
        <f t="shared" si="20"/>
        <v>0</v>
      </c>
      <c r="U63" s="398">
        <f t="shared" si="20"/>
        <v>0</v>
      </c>
      <c r="V63" s="398">
        <f t="shared" si="20"/>
        <v>0</v>
      </c>
      <c r="W63" s="398">
        <f t="shared" si="20"/>
        <v>0</v>
      </c>
      <c r="X63" s="398">
        <f t="shared" si="20"/>
        <v>0</v>
      </c>
      <c r="Y63" s="398">
        <f t="shared" si="20"/>
        <v>0</v>
      </c>
      <c r="Z63" s="398">
        <f t="shared" si="20"/>
        <v>0</v>
      </c>
      <c r="AA63" s="398">
        <f t="shared" si="20"/>
        <v>0</v>
      </c>
      <c r="AB63" s="398">
        <f t="shared" si="20"/>
        <v>0</v>
      </c>
      <c r="AC63" s="398">
        <f t="shared" si="20"/>
        <v>0</v>
      </c>
      <c r="AD63" s="398">
        <f t="shared" si="20"/>
        <v>0</v>
      </c>
      <c r="AE63" s="398">
        <f t="shared" si="20"/>
        <v>0</v>
      </c>
      <c r="AF63" s="398">
        <f t="shared" si="20"/>
        <v>0</v>
      </c>
      <c r="AG63" s="398">
        <f t="shared" si="20"/>
        <v>0</v>
      </c>
      <c r="AH63" s="398">
        <f t="shared" si="20"/>
        <v>0</v>
      </c>
      <c r="AI63" s="398">
        <f t="shared" si="20"/>
        <v>0</v>
      </c>
      <c r="AJ63" s="398">
        <f t="shared" si="20"/>
        <v>0</v>
      </c>
      <c r="AK63" s="418">
        <f t="shared" si="20"/>
        <v>0</v>
      </c>
      <c r="AL63" s="951"/>
      <c r="AQ63" s="221"/>
    </row>
    <row r="64" spans="1:43" ht="15.75" hidden="1" customHeight="1">
      <c r="B64" s="235"/>
      <c r="AQ64" s="221"/>
    </row>
    <row r="65" spans="2:43" ht="17.399999999999999">
      <c r="B65" s="235"/>
      <c r="C65" s="388" t="str">
        <f>"2.ROM Actual "&amp;MID(C2,13,20)</f>
        <v>2.ROM Actual Sep'26</v>
      </c>
      <c r="D65" s="388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Z65" s="221"/>
      <c r="AA65" s="221"/>
      <c r="AB65" s="221"/>
      <c r="AQ65" s="477"/>
    </row>
    <row r="66" spans="2:43">
      <c r="C66" s="443" t="str">
        <f>C3</f>
        <v>Total day ---&gt;</v>
      </c>
      <c r="D66" s="444"/>
      <c r="E66" s="358">
        <f>E3</f>
        <v>30</v>
      </c>
      <c r="F66" s="883" t="s">
        <v>61</v>
      </c>
      <c r="G66" s="883" t="s">
        <v>62</v>
      </c>
      <c r="H66" s="883" t="s">
        <v>63</v>
      </c>
      <c r="I66" s="883" t="s">
        <v>64</v>
      </c>
      <c r="J66" s="883" t="s">
        <v>65</v>
      </c>
      <c r="K66" s="883" t="s">
        <v>66</v>
      </c>
      <c r="L66" s="883" t="s">
        <v>67</v>
      </c>
      <c r="M66" s="883" t="s">
        <v>68</v>
      </c>
      <c r="N66" s="883" t="s">
        <v>69</v>
      </c>
      <c r="O66" s="883" t="s">
        <v>70</v>
      </c>
      <c r="P66" s="883" t="s">
        <v>71</v>
      </c>
      <c r="Q66" s="883" t="s">
        <v>72</v>
      </c>
      <c r="R66" s="883" t="s">
        <v>73</v>
      </c>
      <c r="S66" s="883" t="s">
        <v>74</v>
      </c>
      <c r="T66" s="883" t="s">
        <v>75</v>
      </c>
      <c r="U66" s="883" t="s">
        <v>76</v>
      </c>
      <c r="V66" s="883" t="s">
        <v>77</v>
      </c>
      <c r="W66" s="883" t="s">
        <v>78</v>
      </c>
      <c r="X66" s="883" t="s">
        <v>79</v>
      </c>
      <c r="Y66" s="883" t="s">
        <v>80</v>
      </c>
      <c r="Z66" s="883" t="s">
        <v>81</v>
      </c>
      <c r="AA66" s="883" t="s">
        <v>82</v>
      </c>
      <c r="AB66" s="883" t="s">
        <v>83</v>
      </c>
      <c r="AC66" s="883" t="s">
        <v>84</v>
      </c>
      <c r="AD66" s="883" t="s">
        <v>85</v>
      </c>
      <c r="AE66" s="883" t="s">
        <v>86</v>
      </c>
      <c r="AF66" s="883" t="s">
        <v>87</v>
      </c>
      <c r="AG66" s="883" t="s">
        <v>88</v>
      </c>
      <c r="AH66" s="883" t="s">
        <v>89</v>
      </c>
      <c r="AI66" s="883" t="s">
        <v>90</v>
      </c>
      <c r="AJ66" s="883" t="s">
        <v>91</v>
      </c>
      <c r="AK66" s="459" t="s">
        <v>119</v>
      </c>
      <c r="AL66" s="460" t="s">
        <v>120</v>
      </c>
      <c r="AQ66" s="221"/>
    </row>
    <row r="67" spans="2:43" ht="14.7" customHeight="1">
      <c r="B67" s="219"/>
      <c r="C67" s="987" t="str">
        <f>C32</f>
        <v>PIT UCEX</v>
      </c>
      <c r="D67" s="995" t="s">
        <v>121</v>
      </c>
      <c r="E67" s="361" t="s">
        <v>144</v>
      </c>
      <c r="F67" s="445">
        <f t="shared" ref="F67:AJ67" si="21">SUM(F68:F69)</f>
        <v>0</v>
      </c>
      <c r="G67" s="445">
        <f t="shared" si="21"/>
        <v>0</v>
      </c>
      <c r="H67" s="445">
        <f t="shared" si="21"/>
        <v>0</v>
      </c>
      <c r="I67" s="445">
        <f t="shared" si="21"/>
        <v>0</v>
      </c>
      <c r="J67" s="445">
        <f t="shared" si="21"/>
        <v>0</v>
      </c>
      <c r="K67" s="445">
        <f t="shared" si="21"/>
        <v>0</v>
      </c>
      <c r="L67" s="445">
        <f t="shared" si="21"/>
        <v>0</v>
      </c>
      <c r="M67" s="445">
        <f t="shared" si="21"/>
        <v>0</v>
      </c>
      <c r="N67" s="445">
        <f t="shared" si="21"/>
        <v>0</v>
      </c>
      <c r="O67" s="445">
        <f t="shared" si="21"/>
        <v>0</v>
      </c>
      <c r="P67" s="445">
        <f t="shared" si="21"/>
        <v>0</v>
      </c>
      <c r="Q67" s="445">
        <f t="shared" si="21"/>
        <v>0</v>
      </c>
      <c r="R67" s="445">
        <f t="shared" si="21"/>
        <v>0</v>
      </c>
      <c r="S67" s="445">
        <f t="shared" si="21"/>
        <v>0</v>
      </c>
      <c r="T67" s="445">
        <f t="shared" si="21"/>
        <v>0</v>
      </c>
      <c r="U67" s="445">
        <f t="shared" si="21"/>
        <v>0</v>
      </c>
      <c r="V67" s="445">
        <f t="shared" si="21"/>
        <v>0</v>
      </c>
      <c r="W67" s="445">
        <f t="shared" si="21"/>
        <v>0</v>
      </c>
      <c r="X67" s="445">
        <f t="shared" si="21"/>
        <v>0</v>
      </c>
      <c r="Y67" s="445">
        <f t="shared" si="21"/>
        <v>0</v>
      </c>
      <c r="Z67" s="445">
        <f t="shared" si="21"/>
        <v>0</v>
      </c>
      <c r="AA67" s="445">
        <f t="shared" si="21"/>
        <v>0</v>
      </c>
      <c r="AB67" s="445">
        <f t="shared" si="21"/>
        <v>0</v>
      </c>
      <c r="AC67" s="445">
        <f t="shared" si="21"/>
        <v>0</v>
      </c>
      <c r="AD67" s="445">
        <f t="shared" si="21"/>
        <v>0</v>
      </c>
      <c r="AE67" s="445">
        <f t="shared" si="21"/>
        <v>0</v>
      </c>
      <c r="AF67" s="445">
        <f t="shared" si="21"/>
        <v>0</v>
      </c>
      <c r="AG67" s="445">
        <f t="shared" si="21"/>
        <v>0</v>
      </c>
      <c r="AH67" s="445">
        <f t="shared" si="21"/>
        <v>0</v>
      </c>
      <c r="AI67" s="445">
        <f t="shared" si="21"/>
        <v>0</v>
      </c>
      <c r="AJ67" s="445">
        <f t="shared" si="21"/>
        <v>0</v>
      </c>
      <c r="AK67" s="461">
        <f t="shared" ref="AK67:AK94" si="22">SUM(F67:AJ67)</f>
        <v>0</v>
      </c>
      <c r="AL67" s="462">
        <f>HLOOKUP(LEFT(Summary!D3,2),Actual!F66:AJ156,2,FALSE)</f>
        <v>0</v>
      </c>
      <c r="AM67" s="223"/>
      <c r="AQ67" s="221"/>
    </row>
    <row r="68" spans="2:43" ht="14.7" customHeight="1">
      <c r="B68" s="219"/>
      <c r="C68" s="988"/>
      <c r="D68" s="996"/>
      <c r="E68" s="446" t="s">
        <v>123</v>
      </c>
      <c r="F68" s="447">
        <v>0</v>
      </c>
      <c r="G68" s="447">
        <v>0</v>
      </c>
      <c r="H68" s="447">
        <v>0</v>
      </c>
      <c r="I68" s="447">
        <v>0</v>
      </c>
      <c r="J68" s="447">
        <v>0</v>
      </c>
      <c r="K68" s="447">
        <v>0</v>
      </c>
      <c r="L68" s="447">
        <v>0</v>
      </c>
      <c r="M68" s="447">
        <v>0</v>
      </c>
      <c r="N68" s="447">
        <v>0</v>
      </c>
      <c r="O68" s="447">
        <v>0</v>
      </c>
      <c r="P68" s="447">
        <v>0</v>
      </c>
      <c r="Q68" s="447">
        <v>0</v>
      </c>
      <c r="R68" s="447">
        <v>0</v>
      </c>
      <c r="S68" s="447">
        <v>0</v>
      </c>
      <c r="T68" s="447">
        <v>0</v>
      </c>
      <c r="U68" s="447">
        <v>0</v>
      </c>
      <c r="V68" s="447">
        <v>0</v>
      </c>
      <c r="W68" s="447">
        <v>0</v>
      </c>
      <c r="X68" s="447">
        <v>0</v>
      </c>
      <c r="Y68" s="447">
        <v>0</v>
      </c>
      <c r="Z68" s="447">
        <v>0</v>
      </c>
      <c r="AA68" s="447">
        <v>0</v>
      </c>
      <c r="AB68" s="447">
        <v>0</v>
      </c>
      <c r="AC68" s="447">
        <v>0</v>
      </c>
      <c r="AD68" s="447">
        <v>0</v>
      </c>
      <c r="AE68" s="447">
        <v>0</v>
      </c>
      <c r="AF68" s="447">
        <v>0</v>
      </c>
      <c r="AG68" s="447">
        <v>0</v>
      </c>
      <c r="AH68" s="447">
        <v>0</v>
      </c>
      <c r="AI68" s="447">
        <v>0</v>
      </c>
      <c r="AJ68" s="447">
        <v>0</v>
      </c>
      <c r="AK68" s="447">
        <f t="shared" si="22"/>
        <v>0</v>
      </c>
      <c r="AL68" s="463">
        <f>HLOOKUP(LEFT(Summary!D3,2),Actual!F66:AJ156,3,FALSE)</f>
        <v>0</v>
      </c>
      <c r="AM68" s="223"/>
      <c r="AQ68" s="221"/>
    </row>
    <row r="69" spans="2:43" ht="14.7" customHeight="1">
      <c r="B69" s="219"/>
      <c r="C69" s="988"/>
      <c r="D69" s="996"/>
      <c r="E69" s="446" t="s">
        <v>26</v>
      </c>
      <c r="F69" s="448">
        <v>0</v>
      </c>
      <c r="G69" s="448">
        <v>0</v>
      </c>
      <c r="H69" s="448">
        <v>0</v>
      </c>
      <c r="I69" s="448">
        <v>0</v>
      </c>
      <c r="J69" s="448">
        <v>0</v>
      </c>
      <c r="K69" s="448">
        <v>0</v>
      </c>
      <c r="L69" s="448">
        <v>0</v>
      </c>
      <c r="M69" s="448">
        <v>0</v>
      </c>
      <c r="N69" s="448">
        <v>0</v>
      </c>
      <c r="O69" s="448">
        <v>0</v>
      </c>
      <c r="P69" s="448">
        <v>0</v>
      </c>
      <c r="Q69" s="448">
        <v>0</v>
      </c>
      <c r="R69" s="448"/>
      <c r="S69" s="448">
        <v>0</v>
      </c>
      <c r="T69" s="448">
        <v>0</v>
      </c>
      <c r="U69" s="448">
        <v>0</v>
      </c>
      <c r="V69" s="448">
        <v>0</v>
      </c>
      <c r="W69" s="448">
        <v>0</v>
      </c>
      <c r="X69" s="448">
        <v>0</v>
      </c>
      <c r="Y69" s="448">
        <v>0</v>
      </c>
      <c r="Z69" s="448">
        <v>0</v>
      </c>
      <c r="AA69" s="448">
        <v>0</v>
      </c>
      <c r="AB69" s="448">
        <v>0</v>
      </c>
      <c r="AC69" s="448">
        <v>0</v>
      </c>
      <c r="AD69" s="448">
        <v>0</v>
      </c>
      <c r="AE69" s="448">
        <v>0</v>
      </c>
      <c r="AF69" s="448">
        <v>0</v>
      </c>
      <c r="AG69" s="448">
        <v>0</v>
      </c>
      <c r="AH69" s="448">
        <v>0</v>
      </c>
      <c r="AI69" s="448">
        <v>0</v>
      </c>
      <c r="AJ69" s="448">
        <v>0</v>
      </c>
      <c r="AK69" s="447">
        <f t="shared" si="22"/>
        <v>0</v>
      </c>
      <c r="AL69" s="463">
        <f>HLOOKUP(LEFT(Summary!D3,2),Actual!F66:AJ156,4,FALSE)</f>
        <v>0</v>
      </c>
      <c r="AM69" s="223"/>
      <c r="AQ69" s="221"/>
    </row>
    <row r="70" spans="2:43" ht="14.7" hidden="1" customHeight="1">
      <c r="B70" s="219"/>
      <c r="C70" s="988"/>
      <c r="D70" s="996"/>
      <c r="E70" s="361" t="s">
        <v>124</v>
      </c>
      <c r="F70" s="449">
        <f t="shared" ref="F70:AJ70" si="23">SUM(F71:F72)</f>
        <v>0</v>
      </c>
      <c r="G70" s="449">
        <f t="shared" si="23"/>
        <v>0</v>
      </c>
      <c r="H70" s="449">
        <f t="shared" si="23"/>
        <v>0</v>
      </c>
      <c r="I70" s="449">
        <f t="shared" si="23"/>
        <v>0</v>
      </c>
      <c r="J70" s="449">
        <f t="shared" si="23"/>
        <v>0</v>
      </c>
      <c r="K70" s="449">
        <f t="shared" si="23"/>
        <v>0</v>
      </c>
      <c r="L70" s="449">
        <f t="shared" si="23"/>
        <v>0</v>
      </c>
      <c r="M70" s="449">
        <f t="shared" si="23"/>
        <v>0</v>
      </c>
      <c r="N70" s="449">
        <f t="shared" si="23"/>
        <v>0</v>
      </c>
      <c r="O70" s="449">
        <f t="shared" si="23"/>
        <v>0</v>
      </c>
      <c r="P70" s="449">
        <f t="shared" si="23"/>
        <v>0</v>
      </c>
      <c r="Q70" s="449">
        <f t="shared" si="23"/>
        <v>0</v>
      </c>
      <c r="R70" s="449">
        <f t="shared" si="23"/>
        <v>0</v>
      </c>
      <c r="S70" s="449">
        <f t="shared" si="23"/>
        <v>0</v>
      </c>
      <c r="T70" s="449">
        <f t="shared" si="23"/>
        <v>0</v>
      </c>
      <c r="U70" s="449">
        <f t="shared" si="23"/>
        <v>0</v>
      </c>
      <c r="V70" s="449">
        <f t="shared" si="23"/>
        <v>0</v>
      </c>
      <c r="W70" s="449">
        <f t="shared" si="23"/>
        <v>0</v>
      </c>
      <c r="X70" s="449">
        <f t="shared" si="23"/>
        <v>0</v>
      </c>
      <c r="Y70" s="449">
        <f t="shared" si="23"/>
        <v>0</v>
      </c>
      <c r="Z70" s="449">
        <f t="shared" si="23"/>
        <v>0</v>
      </c>
      <c r="AA70" s="449">
        <f t="shared" si="23"/>
        <v>0</v>
      </c>
      <c r="AB70" s="449">
        <f t="shared" si="23"/>
        <v>0</v>
      </c>
      <c r="AC70" s="449">
        <f t="shared" si="23"/>
        <v>0</v>
      </c>
      <c r="AD70" s="449">
        <f t="shared" si="23"/>
        <v>0</v>
      </c>
      <c r="AE70" s="449">
        <f t="shared" si="23"/>
        <v>0</v>
      </c>
      <c r="AF70" s="449">
        <f t="shared" si="23"/>
        <v>0</v>
      </c>
      <c r="AG70" s="449">
        <f t="shared" si="23"/>
        <v>0</v>
      </c>
      <c r="AH70" s="449">
        <f t="shared" si="23"/>
        <v>0</v>
      </c>
      <c r="AI70" s="449">
        <f t="shared" si="23"/>
        <v>0</v>
      </c>
      <c r="AJ70" s="449">
        <f t="shared" si="23"/>
        <v>0</v>
      </c>
      <c r="AK70" s="464">
        <f t="shared" si="22"/>
        <v>0</v>
      </c>
      <c r="AL70" s="465">
        <f>HLOOKUP(LEFT(Summary!D3,2),Actual!F66:AJ156,32,FALSE)</f>
        <v>0</v>
      </c>
      <c r="AM70" s="223"/>
      <c r="AQ70" s="221"/>
    </row>
    <row r="71" spans="2:43" ht="14.7" hidden="1" customHeight="1">
      <c r="B71" s="219"/>
      <c r="C71" s="988"/>
      <c r="D71" s="996"/>
      <c r="E71" s="446" t="s">
        <v>123</v>
      </c>
      <c r="F71" s="447">
        <v>0</v>
      </c>
      <c r="G71" s="447">
        <v>0</v>
      </c>
      <c r="H71" s="447">
        <v>0</v>
      </c>
      <c r="I71" s="447">
        <v>0</v>
      </c>
      <c r="J71" s="447">
        <v>0</v>
      </c>
      <c r="K71" s="447">
        <v>0</v>
      </c>
      <c r="L71" s="447">
        <v>0</v>
      </c>
      <c r="M71" s="447">
        <v>0</v>
      </c>
      <c r="N71" s="447">
        <v>0</v>
      </c>
      <c r="O71" s="447">
        <v>0</v>
      </c>
      <c r="P71" s="447">
        <v>0</v>
      </c>
      <c r="Q71" s="447">
        <v>0</v>
      </c>
      <c r="R71" s="447">
        <v>0</v>
      </c>
      <c r="S71" s="447">
        <v>0</v>
      </c>
      <c r="T71" s="447">
        <v>0</v>
      </c>
      <c r="U71" s="447">
        <v>0</v>
      </c>
      <c r="V71" s="447">
        <v>0</v>
      </c>
      <c r="W71" s="447">
        <v>0</v>
      </c>
      <c r="X71" s="447">
        <v>0</v>
      </c>
      <c r="Y71" s="447">
        <v>0</v>
      </c>
      <c r="Z71" s="447">
        <v>0</v>
      </c>
      <c r="AA71" s="447">
        <v>0</v>
      </c>
      <c r="AB71" s="447">
        <v>0</v>
      </c>
      <c r="AC71" s="447">
        <v>0</v>
      </c>
      <c r="AD71" s="447">
        <v>0</v>
      </c>
      <c r="AE71" s="447">
        <v>0</v>
      </c>
      <c r="AF71" s="447">
        <v>0</v>
      </c>
      <c r="AG71" s="447">
        <v>0</v>
      </c>
      <c r="AH71" s="447">
        <v>0</v>
      </c>
      <c r="AI71" s="447">
        <v>0</v>
      </c>
      <c r="AJ71" s="447">
        <v>0</v>
      </c>
      <c r="AK71" s="447">
        <f t="shared" si="22"/>
        <v>0</v>
      </c>
      <c r="AL71" s="463">
        <f>HLOOKUP(LEFT(Summary!D3,2),Actual!F66:AJ156,33,FALSE)</f>
        <v>0</v>
      </c>
      <c r="AM71" s="223"/>
      <c r="AQ71" s="221"/>
    </row>
    <row r="72" spans="2:43" ht="14.7" hidden="1" customHeight="1">
      <c r="C72" s="988"/>
      <c r="D72" s="996"/>
      <c r="E72" s="450" t="s">
        <v>26</v>
      </c>
      <c r="F72" s="451">
        <v>0</v>
      </c>
      <c r="G72" s="451">
        <v>0</v>
      </c>
      <c r="H72" s="451">
        <v>0</v>
      </c>
      <c r="I72" s="451">
        <v>0</v>
      </c>
      <c r="J72" s="451">
        <v>0</v>
      </c>
      <c r="K72" s="451">
        <v>0</v>
      </c>
      <c r="L72" s="451">
        <v>0</v>
      </c>
      <c r="M72" s="451">
        <v>0</v>
      </c>
      <c r="N72" s="451">
        <v>0</v>
      </c>
      <c r="O72" s="451">
        <v>0</v>
      </c>
      <c r="P72" s="451">
        <v>0</v>
      </c>
      <c r="Q72" s="451">
        <v>0</v>
      </c>
      <c r="R72" s="451">
        <v>0</v>
      </c>
      <c r="S72" s="451">
        <v>0</v>
      </c>
      <c r="T72" s="451">
        <v>0</v>
      </c>
      <c r="U72" s="451">
        <v>0</v>
      </c>
      <c r="V72" s="451">
        <v>0</v>
      </c>
      <c r="W72" s="451">
        <v>0</v>
      </c>
      <c r="X72" s="451">
        <v>0</v>
      </c>
      <c r="Y72" s="451">
        <v>0</v>
      </c>
      <c r="Z72" s="451">
        <v>0</v>
      </c>
      <c r="AA72" s="451">
        <v>0</v>
      </c>
      <c r="AB72" s="451">
        <v>0</v>
      </c>
      <c r="AC72" s="451">
        <v>0</v>
      </c>
      <c r="AD72" s="451">
        <v>0</v>
      </c>
      <c r="AE72" s="451">
        <v>0</v>
      </c>
      <c r="AF72" s="451">
        <v>0</v>
      </c>
      <c r="AG72" s="451">
        <v>0</v>
      </c>
      <c r="AH72" s="451">
        <v>0</v>
      </c>
      <c r="AI72" s="451">
        <v>0</v>
      </c>
      <c r="AJ72" s="451">
        <v>0</v>
      </c>
      <c r="AK72" s="451">
        <f t="shared" si="22"/>
        <v>0</v>
      </c>
      <c r="AL72" s="466">
        <f>HLOOKUP(LEFT(Summary!D3,2),Actual!F66:AJ156,34,FALSE)</f>
        <v>0</v>
      </c>
      <c r="AM72" s="223"/>
      <c r="AQ72" s="221"/>
    </row>
    <row r="73" spans="2:43" ht="15" hidden="1" customHeight="1">
      <c r="C73" s="988"/>
      <c r="D73" s="996"/>
      <c r="E73" s="361" t="s">
        <v>125</v>
      </c>
      <c r="F73" s="445">
        <f t="shared" ref="F73:AJ73" si="24">SUM(F74:F75)</f>
        <v>0</v>
      </c>
      <c r="G73" s="445">
        <f t="shared" si="24"/>
        <v>0</v>
      </c>
      <c r="H73" s="445">
        <f t="shared" si="24"/>
        <v>0</v>
      </c>
      <c r="I73" s="445">
        <f t="shared" si="24"/>
        <v>0</v>
      </c>
      <c r="J73" s="445">
        <f t="shared" si="24"/>
        <v>0</v>
      </c>
      <c r="K73" s="445">
        <f t="shared" si="24"/>
        <v>0</v>
      </c>
      <c r="L73" s="445">
        <f t="shared" si="24"/>
        <v>0</v>
      </c>
      <c r="M73" s="445">
        <f t="shared" si="24"/>
        <v>0</v>
      </c>
      <c r="N73" s="445">
        <f t="shared" si="24"/>
        <v>0</v>
      </c>
      <c r="O73" s="445">
        <f t="shared" si="24"/>
        <v>0</v>
      </c>
      <c r="P73" s="445">
        <f t="shared" si="24"/>
        <v>0</v>
      </c>
      <c r="Q73" s="445">
        <f t="shared" si="24"/>
        <v>0</v>
      </c>
      <c r="R73" s="445">
        <f t="shared" si="24"/>
        <v>0</v>
      </c>
      <c r="S73" s="445">
        <f t="shared" si="24"/>
        <v>0</v>
      </c>
      <c r="T73" s="445">
        <f t="shared" si="24"/>
        <v>0</v>
      </c>
      <c r="U73" s="445">
        <f t="shared" si="24"/>
        <v>0</v>
      </c>
      <c r="V73" s="445">
        <f t="shared" si="24"/>
        <v>0</v>
      </c>
      <c r="W73" s="445">
        <f t="shared" si="24"/>
        <v>0</v>
      </c>
      <c r="X73" s="445">
        <f t="shared" si="24"/>
        <v>0</v>
      </c>
      <c r="Y73" s="445">
        <f t="shared" si="24"/>
        <v>0</v>
      </c>
      <c r="Z73" s="445">
        <f t="shared" si="24"/>
        <v>0</v>
      </c>
      <c r="AA73" s="445">
        <f t="shared" si="24"/>
        <v>0</v>
      </c>
      <c r="AB73" s="445">
        <f t="shared" si="24"/>
        <v>0</v>
      </c>
      <c r="AC73" s="445">
        <f t="shared" si="24"/>
        <v>0</v>
      </c>
      <c r="AD73" s="445">
        <f t="shared" si="24"/>
        <v>0</v>
      </c>
      <c r="AE73" s="445">
        <f t="shared" si="24"/>
        <v>0</v>
      </c>
      <c r="AF73" s="445">
        <f t="shared" si="24"/>
        <v>0</v>
      </c>
      <c r="AG73" s="445">
        <f t="shared" si="24"/>
        <v>0</v>
      </c>
      <c r="AH73" s="445">
        <f t="shared" si="24"/>
        <v>0</v>
      </c>
      <c r="AI73" s="445">
        <f t="shared" si="24"/>
        <v>0</v>
      </c>
      <c r="AJ73" s="445">
        <f t="shared" si="24"/>
        <v>0</v>
      </c>
      <c r="AK73" s="461">
        <f t="shared" si="22"/>
        <v>0</v>
      </c>
      <c r="AL73" s="462">
        <f>HLOOKUP(LEFT(Summary!D3,2),Actual!F66:AJ156,5,FALSE)</f>
        <v>0</v>
      </c>
      <c r="AM73" s="223"/>
      <c r="AQ73" s="221"/>
    </row>
    <row r="74" spans="2:43" ht="15" hidden="1" customHeight="1">
      <c r="B74" s="219"/>
      <c r="C74" s="988"/>
      <c r="D74" s="996"/>
      <c r="E74" s="446" t="s">
        <v>123</v>
      </c>
      <c r="F74" s="447">
        <v>0</v>
      </c>
      <c r="G74" s="447">
        <v>0</v>
      </c>
      <c r="H74" s="447">
        <v>0</v>
      </c>
      <c r="I74" s="447">
        <v>0</v>
      </c>
      <c r="J74" s="447">
        <v>0</v>
      </c>
      <c r="K74" s="447">
        <v>0</v>
      </c>
      <c r="L74" s="447">
        <v>0</v>
      </c>
      <c r="M74" s="447">
        <v>0</v>
      </c>
      <c r="N74" s="447">
        <v>0</v>
      </c>
      <c r="O74" s="447">
        <v>0</v>
      </c>
      <c r="P74" s="447">
        <v>0</v>
      </c>
      <c r="Q74" s="447">
        <v>0</v>
      </c>
      <c r="R74" s="447">
        <v>0</v>
      </c>
      <c r="S74" s="447">
        <v>0</v>
      </c>
      <c r="T74" s="447">
        <v>0</v>
      </c>
      <c r="U74" s="447">
        <v>0</v>
      </c>
      <c r="V74" s="447">
        <v>0</v>
      </c>
      <c r="W74" s="447">
        <v>0</v>
      </c>
      <c r="X74" s="447">
        <v>0</v>
      </c>
      <c r="Y74" s="447">
        <v>0</v>
      </c>
      <c r="Z74" s="447">
        <v>0</v>
      </c>
      <c r="AA74" s="447">
        <v>0</v>
      </c>
      <c r="AB74" s="447">
        <v>0</v>
      </c>
      <c r="AC74" s="447">
        <v>0</v>
      </c>
      <c r="AD74" s="447">
        <v>0</v>
      </c>
      <c r="AE74" s="447">
        <v>0</v>
      </c>
      <c r="AF74" s="447">
        <v>0</v>
      </c>
      <c r="AG74" s="447">
        <v>0</v>
      </c>
      <c r="AH74" s="447">
        <v>0</v>
      </c>
      <c r="AI74" s="447">
        <v>0</v>
      </c>
      <c r="AJ74" s="447">
        <v>0</v>
      </c>
      <c r="AK74" s="447">
        <f t="shared" si="22"/>
        <v>0</v>
      </c>
      <c r="AL74" s="463">
        <f>HLOOKUP(LEFT(Summary!D3,2),Actual!F66:AJ156,6,FALSE)</f>
        <v>0</v>
      </c>
      <c r="AM74" s="223"/>
      <c r="AQ74" s="221"/>
    </row>
    <row r="75" spans="2:43" ht="15" hidden="1" customHeight="1">
      <c r="C75" s="988"/>
      <c r="D75" s="996"/>
      <c r="E75" s="450" t="s">
        <v>26</v>
      </c>
      <c r="F75" s="447">
        <v>0</v>
      </c>
      <c r="G75" s="447">
        <v>0</v>
      </c>
      <c r="H75" s="447">
        <v>0</v>
      </c>
      <c r="I75" s="447">
        <v>0</v>
      </c>
      <c r="J75" s="447">
        <v>0</v>
      </c>
      <c r="K75" s="447">
        <v>0</v>
      </c>
      <c r="L75" s="447">
        <v>0</v>
      </c>
      <c r="M75" s="447">
        <v>0</v>
      </c>
      <c r="N75" s="447">
        <v>0</v>
      </c>
      <c r="O75" s="447">
        <v>0</v>
      </c>
      <c r="P75" s="447">
        <v>0</v>
      </c>
      <c r="Q75" s="447">
        <v>0</v>
      </c>
      <c r="R75" s="447">
        <v>0</v>
      </c>
      <c r="S75" s="447">
        <v>0</v>
      </c>
      <c r="T75" s="447">
        <v>0</v>
      </c>
      <c r="U75" s="447">
        <v>0</v>
      </c>
      <c r="V75" s="447">
        <v>0</v>
      </c>
      <c r="W75" s="447">
        <v>0</v>
      </c>
      <c r="X75" s="447">
        <v>0</v>
      </c>
      <c r="Y75" s="447">
        <v>0</v>
      </c>
      <c r="Z75" s="447">
        <v>0</v>
      </c>
      <c r="AA75" s="447">
        <v>0</v>
      </c>
      <c r="AB75" s="447">
        <v>0</v>
      </c>
      <c r="AC75" s="447">
        <v>0</v>
      </c>
      <c r="AD75" s="447">
        <v>0</v>
      </c>
      <c r="AE75" s="447">
        <v>0</v>
      </c>
      <c r="AF75" s="447">
        <v>0</v>
      </c>
      <c r="AG75" s="447">
        <v>0</v>
      </c>
      <c r="AH75" s="447">
        <v>0</v>
      </c>
      <c r="AI75" s="447">
        <v>0</v>
      </c>
      <c r="AJ75" s="447">
        <v>0</v>
      </c>
      <c r="AK75" s="451">
        <f t="shared" si="22"/>
        <v>0</v>
      </c>
      <c r="AL75" s="466">
        <f>HLOOKUP(LEFT(Summary!D3,2),Actual!F66:AJ156,7,FALSE)</f>
        <v>0</v>
      </c>
      <c r="AM75" s="223"/>
      <c r="AQ75" s="221"/>
    </row>
    <row r="76" spans="2:43" ht="15" hidden="1" customHeight="1">
      <c r="C76" s="988"/>
      <c r="D76" s="996"/>
      <c r="E76" s="361" t="s">
        <v>126</v>
      </c>
      <c r="F76" s="445">
        <f t="shared" ref="F76:AJ76" si="25">SUM(F77:F78)</f>
        <v>0</v>
      </c>
      <c r="G76" s="445">
        <f t="shared" si="25"/>
        <v>0</v>
      </c>
      <c r="H76" s="445">
        <f t="shared" si="25"/>
        <v>0</v>
      </c>
      <c r="I76" s="445">
        <f t="shared" si="25"/>
        <v>0</v>
      </c>
      <c r="J76" s="445">
        <f t="shared" si="25"/>
        <v>0</v>
      </c>
      <c r="K76" s="445">
        <f t="shared" si="25"/>
        <v>0</v>
      </c>
      <c r="L76" s="445">
        <f t="shared" si="25"/>
        <v>0</v>
      </c>
      <c r="M76" s="445">
        <f t="shared" si="25"/>
        <v>0</v>
      </c>
      <c r="N76" s="445">
        <f t="shared" si="25"/>
        <v>0</v>
      </c>
      <c r="O76" s="445">
        <f t="shared" si="25"/>
        <v>0</v>
      </c>
      <c r="P76" s="445">
        <f t="shared" si="25"/>
        <v>0</v>
      </c>
      <c r="Q76" s="445">
        <f t="shared" si="25"/>
        <v>0</v>
      </c>
      <c r="R76" s="445">
        <f t="shared" si="25"/>
        <v>0</v>
      </c>
      <c r="S76" s="445">
        <f t="shared" si="25"/>
        <v>0</v>
      </c>
      <c r="T76" s="445">
        <f t="shared" si="25"/>
        <v>0</v>
      </c>
      <c r="U76" s="445">
        <f t="shared" si="25"/>
        <v>0</v>
      </c>
      <c r="V76" s="445">
        <f t="shared" si="25"/>
        <v>0</v>
      </c>
      <c r="W76" s="445">
        <f t="shared" si="25"/>
        <v>0</v>
      </c>
      <c r="X76" s="445">
        <f t="shared" si="25"/>
        <v>0</v>
      </c>
      <c r="Y76" s="445">
        <f t="shared" si="25"/>
        <v>0</v>
      </c>
      <c r="Z76" s="445">
        <f t="shared" si="25"/>
        <v>0</v>
      </c>
      <c r="AA76" s="445">
        <f t="shared" si="25"/>
        <v>0</v>
      </c>
      <c r="AB76" s="445">
        <f t="shared" si="25"/>
        <v>0</v>
      </c>
      <c r="AC76" s="445">
        <f t="shared" si="25"/>
        <v>0</v>
      </c>
      <c r="AD76" s="445">
        <f t="shared" si="25"/>
        <v>0</v>
      </c>
      <c r="AE76" s="445">
        <f t="shared" si="25"/>
        <v>0</v>
      </c>
      <c r="AF76" s="445">
        <f t="shared" si="25"/>
        <v>0</v>
      </c>
      <c r="AG76" s="445">
        <f t="shared" si="25"/>
        <v>0</v>
      </c>
      <c r="AH76" s="445">
        <f t="shared" si="25"/>
        <v>0</v>
      </c>
      <c r="AI76" s="445">
        <f t="shared" si="25"/>
        <v>0</v>
      </c>
      <c r="AJ76" s="445">
        <f t="shared" si="25"/>
        <v>0</v>
      </c>
      <c r="AK76" s="461">
        <f t="shared" si="22"/>
        <v>0</v>
      </c>
      <c r="AL76" s="462">
        <f>HLOOKUP(LEFT(Summary!D3,2),Actual!F66:AJ156,38,FALSE)</f>
        <v>0</v>
      </c>
      <c r="AM76" s="223"/>
      <c r="AQ76" s="221"/>
    </row>
    <row r="77" spans="2:43" ht="15" hidden="1" customHeight="1">
      <c r="C77" s="988"/>
      <c r="D77" s="996"/>
      <c r="E77" s="446" t="s">
        <v>123</v>
      </c>
      <c r="F77" s="447">
        <v>0</v>
      </c>
      <c r="G77" s="447">
        <v>0</v>
      </c>
      <c r="H77" s="447">
        <v>0</v>
      </c>
      <c r="I77" s="447">
        <v>0</v>
      </c>
      <c r="J77" s="447">
        <v>0</v>
      </c>
      <c r="K77" s="447">
        <v>0</v>
      </c>
      <c r="L77" s="447">
        <v>0</v>
      </c>
      <c r="M77" s="447">
        <v>0</v>
      </c>
      <c r="N77" s="447">
        <v>0</v>
      </c>
      <c r="O77" s="447">
        <v>0</v>
      </c>
      <c r="P77" s="447">
        <v>0</v>
      </c>
      <c r="Q77" s="447">
        <v>0</v>
      </c>
      <c r="R77" s="447">
        <v>0</v>
      </c>
      <c r="S77" s="447">
        <v>0</v>
      </c>
      <c r="T77" s="447">
        <v>0</v>
      </c>
      <c r="U77" s="447">
        <v>0</v>
      </c>
      <c r="V77" s="447">
        <v>0</v>
      </c>
      <c r="W77" s="447">
        <v>0</v>
      </c>
      <c r="X77" s="447">
        <v>0</v>
      </c>
      <c r="Y77" s="447">
        <v>0</v>
      </c>
      <c r="Z77" s="447">
        <v>0</v>
      </c>
      <c r="AA77" s="447">
        <v>0</v>
      </c>
      <c r="AB77" s="447">
        <v>0</v>
      </c>
      <c r="AC77" s="447">
        <v>0</v>
      </c>
      <c r="AD77" s="447">
        <v>0</v>
      </c>
      <c r="AE77" s="447">
        <v>0</v>
      </c>
      <c r="AF77" s="447">
        <v>0</v>
      </c>
      <c r="AG77" s="447">
        <v>0</v>
      </c>
      <c r="AH77" s="447">
        <v>0</v>
      </c>
      <c r="AI77" s="447">
        <v>0</v>
      </c>
      <c r="AJ77" s="447">
        <v>0</v>
      </c>
      <c r="AK77" s="447">
        <f t="shared" si="22"/>
        <v>0</v>
      </c>
      <c r="AL77" s="463">
        <f>HLOOKUP(LEFT(Summary!D3,2),Actual!F66:AJ156,39,FALSE)</f>
        <v>0</v>
      </c>
      <c r="AM77" s="223"/>
      <c r="AQ77" s="221"/>
    </row>
    <row r="78" spans="2:43" ht="15" hidden="1" customHeight="1">
      <c r="C78" s="988"/>
      <c r="D78" s="996"/>
      <c r="E78" s="452" t="s">
        <v>26</v>
      </c>
      <c r="F78" s="448">
        <v>0</v>
      </c>
      <c r="G78" s="448">
        <v>0</v>
      </c>
      <c r="H78" s="448">
        <v>0</v>
      </c>
      <c r="I78" s="448">
        <v>0</v>
      </c>
      <c r="J78" s="448">
        <v>0</v>
      </c>
      <c r="K78" s="448">
        <v>0</v>
      </c>
      <c r="L78" s="448">
        <v>0</v>
      </c>
      <c r="M78" s="448">
        <v>0</v>
      </c>
      <c r="N78" s="448">
        <v>0</v>
      </c>
      <c r="O78" s="448">
        <v>0</v>
      </c>
      <c r="P78" s="448">
        <v>0</v>
      </c>
      <c r="Q78" s="448">
        <v>0</v>
      </c>
      <c r="R78" s="447">
        <v>0</v>
      </c>
      <c r="S78" s="448">
        <v>0</v>
      </c>
      <c r="T78" s="448">
        <v>0</v>
      </c>
      <c r="U78" s="448">
        <v>0</v>
      </c>
      <c r="V78" s="448">
        <v>0</v>
      </c>
      <c r="W78" s="448">
        <v>0</v>
      </c>
      <c r="X78" s="448">
        <v>0</v>
      </c>
      <c r="Y78" s="448">
        <v>0</v>
      </c>
      <c r="Z78" s="448">
        <v>0</v>
      </c>
      <c r="AA78" s="448">
        <v>0</v>
      </c>
      <c r="AB78" s="448">
        <v>0</v>
      </c>
      <c r="AC78" s="448">
        <v>0</v>
      </c>
      <c r="AD78" s="448">
        <v>0</v>
      </c>
      <c r="AE78" s="448">
        <v>0</v>
      </c>
      <c r="AF78" s="448">
        <v>0</v>
      </c>
      <c r="AG78" s="448">
        <v>0</v>
      </c>
      <c r="AH78" s="448">
        <v>0</v>
      </c>
      <c r="AI78" s="448">
        <v>0</v>
      </c>
      <c r="AJ78" s="448">
        <v>0</v>
      </c>
      <c r="AK78" s="448">
        <f t="shared" si="22"/>
        <v>0</v>
      </c>
      <c r="AL78" s="467">
        <f>HLOOKUP(LEFT(Summary!D3,2),Actual!F66:AJ156,40,FALSE)</f>
        <v>0</v>
      </c>
      <c r="AM78" s="223"/>
      <c r="AQ78" s="221"/>
    </row>
    <row r="79" spans="2:43" ht="15" hidden="1" customHeight="1">
      <c r="C79" s="988"/>
      <c r="D79" s="996"/>
      <c r="E79" s="361" t="s">
        <v>127</v>
      </c>
      <c r="F79" s="449">
        <f t="shared" ref="F79:AJ79" si="26">SUM(F80:F81)</f>
        <v>0</v>
      </c>
      <c r="G79" s="449">
        <f t="shared" si="26"/>
        <v>0</v>
      </c>
      <c r="H79" s="449">
        <f t="shared" si="26"/>
        <v>0</v>
      </c>
      <c r="I79" s="449">
        <f t="shared" si="26"/>
        <v>0</v>
      </c>
      <c r="J79" s="449">
        <f t="shared" si="26"/>
        <v>0</v>
      </c>
      <c r="K79" s="449">
        <f t="shared" si="26"/>
        <v>0</v>
      </c>
      <c r="L79" s="449">
        <f t="shared" si="26"/>
        <v>0</v>
      </c>
      <c r="M79" s="449">
        <f t="shared" si="26"/>
        <v>0</v>
      </c>
      <c r="N79" s="449">
        <f t="shared" si="26"/>
        <v>0</v>
      </c>
      <c r="O79" s="449">
        <f t="shared" si="26"/>
        <v>0</v>
      </c>
      <c r="P79" s="449">
        <f t="shared" si="26"/>
        <v>0</v>
      </c>
      <c r="Q79" s="449">
        <f t="shared" si="26"/>
        <v>0</v>
      </c>
      <c r="R79" s="449">
        <f t="shared" si="26"/>
        <v>0</v>
      </c>
      <c r="S79" s="449">
        <f t="shared" si="26"/>
        <v>0</v>
      </c>
      <c r="T79" s="449">
        <f t="shared" si="26"/>
        <v>0</v>
      </c>
      <c r="U79" s="449">
        <f t="shared" si="26"/>
        <v>0</v>
      </c>
      <c r="V79" s="449">
        <f t="shared" si="26"/>
        <v>0</v>
      </c>
      <c r="W79" s="449">
        <f t="shared" si="26"/>
        <v>0</v>
      </c>
      <c r="X79" s="449">
        <f t="shared" si="26"/>
        <v>0</v>
      </c>
      <c r="Y79" s="445">
        <f t="shared" si="26"/>
        <v>0</v>
      </c>
      <c r="Z79" s="445">
        <f t="shared" si="26"/>
        <v>0</v>
      </c>
      <c r="AA79" s="445">
        <f t="shared" si="26"/>
        <v>0</v>
      </c>
      <c r="AB79" s="445">
        <f t="shared" si="26"/>
        <v>0</v>
      </c>
      <c r="AC79" s="445">
        <f t="shared" si="26"/>
        <v>0</v>
      </c>
      <c r="AD79" s="445">
        <f t="shared" si="26"/>
        <v>0</v>
      </c>
      <c r="AE79" s="445">
        <f t="shared" si="26"/>
        <v>0</v>
      </c>
      <c r="AF79" s="445">
        <f t="shared" si="26"/>
        <v>0</v>
      </c>
      <c r="AG79" s="445">
        <f t="shared" si="26"/>
        <v>0</v>
      </c>
      <c r="AH79" s="445">
        <f t="shared" si="26"/>
        <v>0</v>
      </c>
      <c r="AI79" s="445">
        <f t="shared" si="26"/>
        <v>0</v>
      </c>
      <c r="AJ79" s="445">
        <f t="shared" si="26"/>
        <v>0</v>
      </c>
      <c r="AK79" s="461">
        <f t="shared" si="22"/>
        <v>0</v>
      </c>
      <c r="AL79" s="465">
        <f>HLOOKUP(LEFT(Summary!D3,2),Actual!F66:AJ156,8,FALSE)</f>
        <v>0</v>
      </c>
      <c r="AM79" s="223"/>
      <c r="AQ79" s="221"/>
    </row>
    <row r="80" spans="2:43" ht="15" hidden="1" customHeight="1">
      <c r="C80" s="988"/>
      <c r="D80" s="996"/>
      <c r="E80" s="446" t="s">
        <v>123</v>
      </c>
      <c r="F80" s="447">
        <v>0</v>
      </c>
      <c r="G80" s="447">
        <v>0</v>
      </c>
      <c r="H80" s="447">
        <v>0</v>
      </c>
      <c r="I80" s="447">
        <v>0</v>
      </c>
      <c r="J80" s="447">
        <v>0</v>
      </c>
      <c r="K80" s="447">
        <v>0</v>
      </c>
      <c r="L80" s="447">
        <v>0</v>
      </c>
      <c r="M80" s="447">
        <v>0</v>
      </c>
      <c r="N80" s="447">
        <v>0</v>
      </c>
      <c r="O80" s="447">
        <v>0</v>
      </c>
      <c r="P80" s="447">
        <v>0</v>
      </c>
      <c r="Q80" s="447">
        <v>0</v>
      </c>
      <c r="R80" s="447">
        <v>0</v>
      </c>
      <c r="S80" s="447">
        <v>0</v>
      </c>
      <c r="T80" s="447">
        <v>0</v>
      </c>
      <c r="U80" s="447">
        <v>0</v>
      </c>
      <c r="V80" s="447">
        <v>0</v>
      </c>
      <c r="W80" s="447">
        <v>0</v>
      </c>
      <c r="X80" s="447">
        <v>0</v>
      </c>
      <c r="Y80" s="447">
        <v>0</v>
      </c>
      <c r="Z80" s="447">
        <v>0</v>
      </c>
      <c r="AA80" s="447">
        <v>0</v>
      </c>
      <c r="AB80" s="447">
        <v>0</v>
      </c>
      <c r="AC80" s="447">
        <v>0</v>
      </c>
      <c r="AD80" s="447">
        <v>0</v>
      </c>
      <c r="AE80" s="447">
        <v>0</v>
      </c>
      <c r="AF80" s="447">
        <v>0</v>
      </c>
      <c r="AG80" s="447">
        <v>0</v>
      </c>
      <c r="AH80" s="447">
        <v>0</v>
      </c>
      <c r="AI80" s="447">
        <v>0</v>
      </c>
      <c r="AJ80" s="447">
        <v>0</v>
      </c>
      <c r="AK80" s="447">
        <f t="shared" si="22"/>
        <v>0</v>
      </c>
      <c r="AL80" s="463">
        <f>HLOOKUP(LEFT(Summary!D3,2),Actual!F66:AJ156,9,FALSE)</f>
        <v>0</v>
      </c>
      <c r="AM80" s="223"/>
      <c r="AQ80" s="221"/>
    </row>
    <row r="81" spans="1:43" ht="15" hidden="1" customHeight="1">
      <c r="C81" s="988"/>
      <c r="D81" s="996"/>
      <c r="E81" s="452" t="s">
        <v>26</v>
      </c>
      <c r="F81" s="448">
        <v>0</v>
      </c>
      <c r="G81" s="448">
        <v>0</v>
      </c>
      <c r="H81" s="448">
        <v>0</v>
      </c>
      <c r="I81" s="448">
        <v>0</v>
      </c>
      <c r="J81" s="448">
        <v>0</v>
      </c>
      <c r="K81" s="448">
        <v>0</v>
      </c>
      <c r="L81" s="448">
        <v>0</v>
      </c>
      <c r="M81" s="448">
        <v>0</v>
      </c>
      <c r="N81" s="448">
        <v>0</v>
      </c>
      <c r="O81" s="448">
        <v>0</v>
      </c>
      <c r="P81" s="448">
        <v>0</v>
      </c>
      <c r="Q81" s="448">
        <v>0</v>
      </c>
      <c r="R81" s="448">
        <v>0</v>
      </c>
      <c r="S81" s="448">
        <v>0</v>
      </c>
      <c r="T81" s="448">
        <v>0</v>
      </c>
      <c r="U81" s="448">
        <v>0</v>
      </c>
      <c r="V81" s="448">
        <v>0</v>
      </c>
      <c r="W81" s="448">
        <v>0</v>
      </c>
      <c r="X81" s="448">
        <v>0</v>
      </c>
      <c r="Y81" s="448">
        <v>0</v>
      </c>
      <c r="Z81" s="448">
        <v>0</v>
      </c>
      <c r="AA81" s="448">
        <v>0</v>
      </c>
      <c r="AB81" s="448">
        <v>0</v>
      </c>
      <c r="AC81" s="448">
        <v>0</v>
      </c>
      <c r="AD81" s="448">
        <v>0</v>
      </c>
      <c r="AE81" s="448">
        <v>0</v>
      </c>
      <c r="AF81" s="448">
        <v>0</v>
      </c>
      <c r="AG81" s="448">
        <v>0</v>
      </c>
      <c r="AH81" s="448">
        <v>0</v>
      </c>
      <c r="AI81" s="448">
        <v>0</v>
      </c>
      <c r="AJ81" s="448">
        <v>0</v>
      </c>
      <c r="AK81" s="448">
        <f t="shared" si="22"/>
        <v>0</v>
      </c>
      <c r="AL81" s="467">
        <f>HLOOKUP(LEFT(Summary!D3,2),Actual!F66:AJ156,10,FALSE)</f>
        <v>0</v>
      </c>
      <c r="AM81" s="223"/>
      <c r="AQ81" s="221"/>
    </row>
    <row r="82" spans="1:43" ht="15" hidden="1" customHeight="1">
      <c r="C82" s="988"/>
      <c r="D82" s="996"/>
      <c r="E82" s="378" t="s">
        <v>128</v>
      </c>
      <c r="F82" s="449">
        <f t="shared" ref="F82:AJ82" si="27">SUM(F83:F84)</f>
        <v>0</v>
      </c>
      <c r="G82" s="449">
        <f t="shared" si="27"/>
        <v>0</v>
      </c>
      <c r="H82" s="449">
        <f t="shared" si="27"/>
        <v>0</v>
      </c>
      <c r="I82" s="449">
        <f t="shared" si="27"/>
        <v>0</v>
      </c>
      <c r="J82" s="449">
        <f t="shared" si="27"/>
        <v>0</v>
      </c>
      <c r="K82" s="449">
        <f t="shared" si="27"/>
        <v>0</v>
      </c>
      <c r="L82" s="449">
        <f t="shared" si="27"/>
        <v>0</v>
      </c>
      <c r="M82" s="449">
        <f t="shared" si="27"/>
        <v>0</v>
      </c>
      <c r="N82" s="449">
        <f t="shared" si="27"/>
        <v>0</v>
      </c>
      <c r="O82" s="449">
        <f t="shared" si="27"/>
        <v>0</v>
      </c>
      <c r="P82" s="449">
        <f t="shared" si="27"/>
        <v>0</v>
      </c>
      <c r="Q82" s="449">
        <f t="shared" si="27"/>
        <v>0</v>
      </c>
      <c r="R82" s="449">
        <f t="shared" si="27"/>
        <v>0</v>
      </c>
      <c r="S82" s="449">
        <f t="shared" si="27"/>
        <v>0</v>
      </c>
      <c r="T82" s="449">
        <f t="shared" si="27"/>
        <v>0</v>
      </c>
      <c r="U82" s="449">
        <f t="shared" si="27"/>
        <v>0</v>
      </c>
      <c r="V82" s="449">
        <f t="shared" si="27"/>
        <v>0</v>
      </c>
      <c r="W82" s="449">
        <f t="shared" si="27"/>
        <v>0</v>
      </c>
      <c r="X82" s="449">
        <f t="shared" si="27"/>
        <v>0</v>
      </c>
      <c r="Y82" s="449">
        <f t="shared" si="27"/>
        <v>0</v>
      </c>
      <c r="Z82" s="449">
        <f t="shared" si="27"/>
        <v>0</v>
      </c>
      <c r="AA82" s="449">
        <f t="shared" si="27"/>
        <v>0</v>
      </c>
      <c r="AB82" s="449">
        <f t="shared" si="27"/>
        <v>0</v>
      </c>
      <c r="AC82" s="449">
        <f t="shared" si="27"/>
        <v>0</v>
      </c>
      <c r="AD82" s="449">
        <f t="shared" si="27"/>
        <v>0</v>
      </c>
      <c r="AE82" s="449">
        <f t="shared" si="27"/>
        <v>0</v>
      </c>
      <c r="AF82" s="449">
        <f t="shared" si="27"/>
        <v>0</v>
      </c>
      <c r="AG82" s="449">
        <f t="shared" si="27"/>
        <v>0</v>
      </c>
      <c r="AH82" s="449">
        <f t="shared" si="27"/>
        <v>0</v>
      </c>
      <c r="AI82" s="449">
        <f t="shared" si="27"/>
        <v>0</v>
      </c>
      <c r="AJ82" s="449">
        <f t="shared" si="27"/>
        <v>0</v>
      </c>
      <c r="AK82" s="464">
        <f t="shared" si="22"/>
        <v>0</v>
      </c>
      <c r="AL82" s="468">
        <f>HLOOKUP(LEFT(Summary!D3,2),Actual!F66:AJ156,11,FALSE)</f>
        <v>0</v>
      </c>
      <c r="AM82" s="223"/>
      <c r="AQ82" s="221"/>
    </row>
    <row r="83" spans="1:43" ht="15" hidden="1" customHeight="1">
      <c r="C83" s="988"/>
      <c r="D83" s="996"/>
      <c r="E83" s="446" t="s">
        <v>123</v>
      </c>
      <c r="F83" s="447">
        <v>0</v>
      </c>
      <c r="G83" s="447">
        <v>0</v>
      </c>
      <c r="H83" s="447">
        <v>0</v>
      </c>
      <c r="I83" s="447">
        <v>0</v>
      </c>
      <c r="J83" s="447">
        <v>0</v>
      </c>
      <c r="K83" s="447">
        <v>0</v>
      </c>
      <c r="L83" s="447">
        <v>0</v>
      </c>
      <c r="M83" s="447">
        <v>0</v>
      </c>
      <c r="N83" s="447">
        <v>0</v>
      </c>
      <c r="O83" s="447">
        <v>0</v>
      </c>
      <c r="P83" s="447">
        <v>0</v>
      </c>
      <c r="Q83" s="447">
        <v>0</v>
      </c>
      <c r="R83" s="447">
        <v>0</v>
      </c>
      <c r="S83" s="447">
        <v>0</v>
      </c>
      <c r="T83" s="447">
        <v>0</v>
      </c>
      <c r="U83" s="447">
        <v>0</v>
      </c>
      <c r="V83" s="447">
        <v>0</v>
      </c>
      <c r="W83" s="447">
        <v>0</v>
      </c>
      <c r="X83" s="447">
        <v>0</v>
      </c>
      <c r="Y83" s="447">
        <v>0</v>
      </c>
      <c r="Z83" s="447">
        <v>0</v>
      </c>
      <c r="AA83" s="447">
        <v>0</v>
      </c>
      <c r="AB83" s="447">
        <v>0</v>
      </c>
      <c r="AC83" s="447">
        <v>0</v>
      </c>
      <c r="AD83" s="447">
        <v>0</v>
      </c>
      <c r="AE83" s="447">
        <v>0</v>
      </c>
      <c r="AF83" s="447">
        <v>0</v>
      </c>
      <c r="AG83" s="447">
        <v>0</v>
      </c>
      <c r="AH83" s="447">
        <v>0</v>
      </c>
      <c r="AI83" s="447">
        <v>0</v>
      </c>
      <c r="AJ83" s="447">
        <v>0</v>
      </c>
      <c r="AK83" s="447">
        <f t="shared" si="22"/>
        <v>0</v>
      </c>
      <c r="AL83" s="469">
        <f>HLOOKUP(LEFT(Summary!D3,2),Actual!F66:AJ156,12,FALSE)</f>
        <v>0</v>
      </c>
      <c r="AM83" s="223"/>
      <c r="AQ83" s="221"/>
    </row>
    <row r="84" spans="1:43" ht="15.75" hidden="1" customHeight="1">
      <c r="C84" s="988"/>
      <c r="D84" s="996"/>
      <c r="E84" s="452" t="s">
        <v>26</v>
      </c>
      <c r="F84" s="448">
        <v>0</v>
      </c>
      <c r="G84" s="448">
        <v>0</v>
      </c>
      <c r="H84" s="448">
        <v>0</v>
      </c>
      <c r="I84" s="448">
        <v>0</v>
      </c>
      <c r="J84" s="448">
        <v>0</v>
      </c>
      <c r="K84" s="448">
        <v>0</v>
      </c>
      <c r="L84" s="448">
        <v>0</v>
      </c>
      <c r="M84" s="448">
        <v>0</v>
      </c>
      <c r="N84" s="448">
        <v>0</v>
      </c>
      <c r="O84" s="448">
        <v>0</v>
      </c>
      <c r="P84" s="448">
        <v>0</v>
      </c>
      <c r="Q84" s="448">
        <v>0</v>
      </c>
      <c r="R84" s="447">
        <v>0</v>
      </c>
      <c r="S84" s="448">
        <v>0</v>
      </c>
      <c r="T84" s="447">
        <v>0</v>
      </c>
      <c r="U84" s="447">
        <v>0</v>
      </c>
      <c r="V84" s="448">
        <v>0</v>
      </c>
      <c r="W84" s="448">
        <v>0</v>
      </c>
      <c r="X84" s="448">
        <v>0</v>
      </c>
      <c r="Y84" s="448">
        <v>0</v>
      </c>
      <c r="Z84" s="448">
        <v>0</v>
      </c>
      <c r="AA84" s="448">
        <v>0</v>
      </c>
      <c r="AB84" s="448">
        <v>0</v>
      </c>
      <c r="AC84" s="448">
        <v>0</v>
      </c>
      <c r="AD84" s="448">
        <v>0</v>
      </c>
      <c r="AE84" s="448">
        <v>0</v>
      </c>
      <c r="AF84" s="448">
        <v>0</v>
      </c>
      <c r="AG84" s="448">
        <v>0</v>
      </c>
      <c r="AH84" s="448">
        <v>0</v>
      </c>
      <c r="AI84" s="448">
        <v>0</v>
      </c>
      <c r="AJ84" s="448">
        <v>0</v>
      </c>
      <c r="AK84" s="448">
        <f t="shared" si="22"/>
        <v>0</v>
      </c>
      <c r="AL84" s="467">
        <f>HLOOKUP(LEFT(Summary!D3,2),Actual!F66:AJ156,13,FALSE)</f>
        <v>0</v>
      </c>
      <c r="AM84" s="223"/>
      <c r="AQ84" s="221"/>
    </row>
    <row r="85" spans="1:43" ht="14.25" hidden="1" customHeight="1">
      <c r="C85" s="988"/>
      <c r="D85" s="996"/>
      <c r="E85" s="378" t="s">
        <v>129</v>
      </c>
      <c r="F85" s="449">
        <f t="shared" ref="F85:AJ85" si="28">SUM(F86:F87)</f>
        <v>0</v>
      </c>
      <c r="G85" s="449">
        <f t="shared" si="28"/>
        <v>0</v>
      </c>
      <c r="H85" s="449">
        <f t="shared" si="28"/>
        <v>0</v>
      </c>
      <c r="I85" s="449">
        <f t="shared" si="28"/>
        <v>0</v>
      </c>
      <c r="J85" s="449">
        <f t="shared" si="28"/>
        <v>0</v>
      </c>
      <c r="K85" s="449">
        <f t="shared" si="28"/>
        <v>0</v>
      </c>
      <c r="L85" s="449">
        <f t="shared" si="28"/>
        <v>0</v>
      </c>
      <c r="M85" s="449">
        <f t="shared" si="28"/>
        <v>0</v>
      </c>
      <c r="N85" s="449">
        <f t="shared" si="28"/>
        <v>0</v>
      </c>
      <c r="O85" s="449">
        <f t="shared" si="28"/>
        <v>0</v>
      </c>
      <c r="P85" s="449">
        <f t="shared" si="28"/>
        <v>0</v>
      </c>
      <c r="Q85" s="449">
        <f t="shared" si="28"/>
        <v>0</v>
      </c>
      <c r="R85" s="449">
        <f t="shared" si="28"/>
        <v>0</v>
      </c>
      <c r="S85" s="449">
        <f t="shared" si="28"/>
        <v>0</v>
      </c>
      <c r="T85" s="449">
        <f t="shared" si="28"/>
        <v>0</v>
      </c>
      <c r="U85" s="449">
        <f t="shared" si="28"/>
        <v>0</v>
      </c>
      <c r="V85" s="449">
        <f t="shared" si="28"/>
        <v>0</v>
      </c>
      <c r="W85" s="449">
        <f t="shared" si="28"/>
        <v>0</v>
      </c>
      <c r="X85" s="449">
        <f t="shared" si="28"/>
        <v>0</v>
      </c>
      <c r="Y85" s="449">
        <f t="shared" si="28"/>
        <v>0</v>
      </c>
      <c r="Z85" s="449">
        <f t="shared" si="28"/>
        <v>0</v>
      </c>
      <c r="AA85" s="449">
        <f t="shared" si="28"/>
        <v>0</v>
      </c>
      <c r="AB85" s="449">
        <f t="shared" si="28"/>
        <v>0</v>
      </c>
      <c r="AC85" s="449">
        <f t="shared" si="28"/>
        <v>0</v>
      </c>
      <c r="AD85" s="449">
        <f t="shared" si="28"/>
        <v>0</v>
      </c>
      <c r="AE85" s="449">
        <f t="shared" si="28"/>
        <v>0</v>
      </c>
      <c r="AF85" s="449">
        <f t="shared" si="28"/>
        <v>0</v>
      </c>
      <c r="AG85" s="449">
        <f t="shared" si="28"/>
        <v>0</v>
      </c>
      <c r="AH85" s="449">
        <f t="shared" si="28"/>
        <v>0</v>
      </c>
      <c r="AI85" s="449">
        <f t="shared" si="28"/>
        <v>0</v>
      </c>
      <c r="AJ85" s="449">
        <f t="shared" si="28"/>
        <v>0</v>
      </c>
      <c r="AK85" s="464">
        <f t="shared" si="22"/>
        <v>0</v>
      </c>
      <c r="AL85" s="465">
        <f>HLOOKUP(LEFT(Summary!D3,2),Actual!F66:AJ156,29,FALSE)</f>
        <v>0</v>
      </c>
      <c r="AM85" s="223"/>
      <c r="AQ85" s="221"/>
    </row>
    <row r="86" spans="1:43" ht="14.25" hidden="1" customHeight="1">
      <c r="C86" s="988"/>
      <c r="D86" s="996"/>
      <c r="E86" s="446" t="s">
        <v>123</v>
      </c>
      <c r="F86" s="447">
        <v>0</v>
      </c>
      <c r="G86" s="447">
        <v>0</v>
      </c>
      <c r="H86" s="447">
        <v>0</v>
      </c>
      <c r="I86" s="447">
        <v>0</v>
      </c>
      <c r="J86" s="447">
        <v>0</v>
      </c>
      <c r="K86" s="447">
        <v>0</v>
      </c>
      <c r="L86" s="447">
        <v>0</v>
      </c>
      <c r="M86" s="447"/>
      <c r="N86" s="447">
        <v>0</v>
      </c>
      <c r="O86" s="447">
        <v>0</v>
      </c>
      <c r="P86" s="447">
        <v>0</v>
      </c>
      <c r="Q86" s="447">
        <v>0</v>
      </c>
      <c r="R86" s="447">
        <v>0</v>
      </c>
      <c r="S86" s="447">
        <v>0</v>
      </c>
      <c r="T86" s="447">
        <v>0</v>
      </c>
      <c r="U86" s="447">
        <v>0</v>
      </c>
      <c r="V86" s="447">
        <v>0</v>
      </c>
      <c r="W86" s="447">
        <v>0</v>
      </c>
      <c r="X86" s="447">
        <v>0</v>
      </c>
      <c r="Y86" s="447">
        <v>0</v>
      </c>
      <c r="Z86" s="447">
        <v>0</v>
      </c>
      <c r="AA86" s="447">
        <v>0</v>
      </c>
      <c r="AB86" s="447">
        <v>0</v>
      </c>
      <c r="AC86" s="447">
        <v>0</v>
      </c>
      <c r="AD86" s="447">
        <v>0</v>
      </c>
      <c r="AE86" s="447">
        <v>0</v>
      </c>
      <c r="AF86" s="447">
        <v>0</v>
      </c>
      <c r="AG86" s="447">
        <v>0</v>
      </c>
      <c r="AH86" s="447">
        <v>0</v>
      </c>
      <c r="AI86" s="447">
        <v>0</v>
      </c>
      <c r="AJ86" s="447">
        <v>0</v>
      </c>
      <c r="AK86" s="447">
        <f t="shared" si="22"/>
        <v>0</v>
      </c>
      <c r="AL86" s="463">
        <f>HLOOKUP(LEFT(Summary!D3,2),Actual!F66:AJ156,30,FALSE)</f>
        <v>0</v>
      </c>
      <c r="AM86" s="223"/>
      <c r="AQ86" s="221"/>
    </row>
    <row r="87" spans="1:43" ht="14.25" hidden="1" customHeight="1">
      <c r="C87" s="988"/>
      <c r="D87" s="996"/>
      <c r="E87" s="452" t="s">
        <v>26</v>
      </c>
      <c r="F87" s="448">
        <v>0</v>
      </c>
      <c r="G87" s="448">
        <v>0</v>
      </c>
      <c r="H87" s="448">
        <v>0</v>
      </c>
      <c r="I87" s="448">
        <v>0</v>
      </c>
      <c r="J87" s="448">
        <v>0</v>
      </c>
      <c r="K87" s="448">
        <v>0</v>
      </c>
      <c r="L87" s="448">
        <v>0</v>
      </c>
      <c r="M87" s="448">
        <v>0</v>
      </c>
      <c r="N87" s="448">
        <v>0</v>
      </c>
      <c r="O87" s="448">
        <v>0</v>
      </c>
      <c r="P87" s="448">
        <v>0</v>
      </c>
      <c r="Q87" s="448">
        <v>0</v>
      </c>
      <c r="R87" s="447">
        <v>0</v>
      </c>
      <c r="S87" s="447">
        <v>0</v>
      </c>
      <c r="T87" s="447">
        <v>0</v>
      </c>
      <c r="U87" s="447">
        <v>0</v>
      </c>
      <c r="V87" s="448">
        <v>0</v>
      </c>
      <c r="W87" s="448">
        <v>0</v>
      </c>
      <c r="X87" s="448">
        <v>0</v>
      </c>
      <c r="Y87" s="448">
        <v>0</v>
      </c>
      <c r="Z87" s="448">
        <v>0</v>
      </c>
      <c r="AA87" s="448">
        <v>0</v>
      </c>
      <c r="AB87" s="448">
        <v>0</v>
      </c>
      <c r="AC87" s="448">
        <v>0</v>
      </c>
      <c r="AD87" s="448">
        <v>0</v>
      </c>
      <c r="AE87" s="448">
        <v>0</v>
      </c>
      <c r="AF87" s="448">
        <v>0</v>
      </c>
      <c r="AG87" s="448">
        <v>0</v>
      </c>
      <c r="AH87" s="448">
        <v>0</v>
      </c>
      <c r="AI87" s="448">
        <v>0</v>
      </c>
      <c r="AJ87" s="448">
        <v>0</v>
      </c>
      <c r="AK87" s="448">
        <f t="shared" si="22"/>
        <v>0</v>
      </c>
      <c r="AL87" s="467">
        <f>HLOOKUP(LEFT(Summary!D3,2),Actual!F66:AJ156,31,FALSE)</f>
        <v>0</v>
      </c>
      <c r="AM87" s="470"/>
      <c r="AQ87" s="478"/>
    </row>
    <row r="88" spans="1:43" ht="14.25" hidden="1" customHeight="1">
      <c r="C88" s="988"/>
      <c r="D88" s="996"/>
      <c r="E88" s="378" t="s">
        <v>130</v>
      </c>
      <c r="F88" s="449">
        <f t="shared" ref="F88:AJ88" si="29">SUM(F89:F90)</f>
        <v>0</v>
      </c>
      <c r="G88" s="449">
        <f t="shared" si="29"/>
        <v>0</v>
      </c>
      <c r="H88" s="449">
        <f t="shared" si="29"/>
        <v>0</v>
      </c>
      <c r="I88" s="449">
        <f t="shared" si="29"/>
        <v>0</v>
      </c>
      <c r="J88" s="449">
        <f t="shared" si="29"/>
        <v>0</v>
      </c>
      <c r="K88" s="449">
        <f t="shared" si="29"/>
        <v>0</v>
      </c>
      <c r="L88" s="449">
        <f t="shared" si="29"/>
        <v>0</v>
      </c>
      <c r="M88" s="449">
        <f t="shared" si="29"/>
        <v>0</v>
      </c>
      <c r="N88" s="449">
        <f t="shared" si="29"/>
        <v>0</v>
      </c>
      <c r="O88" s="449">
        <f t="shared" si="29"/>
        <v>0</v>
      </c>
      <c r="P88" s="449">
        <f t="shared" si="29"/>
        <v>0</v>
      </c>
      <c r="Q88" s="449">
        <f t="shared" si="29"/>
        <v>0</v>
      </c>
      <c r="R88" s="449">
        <f t="shared" si="29"/>
        <v>0</v>
      </c>
      <c r="S88" s="449">
        <f t="shared" si="29"/>
        <v>0</v>
      </c>
      <c r="T88" s="449">
        <f t="shared" si="29"/>
        <v>0</v>
      </c>
      <c r="U88" s="449">
        <f t="shared" si="29"/>
        <v>0</v>
      </c>
      <c r="V88" s="449">
        <f t="shared" si="29"/>
        <v>0</v>
      </c>
      <c r="W88" s="449">
        <f t="shared" si="29"/>
        <v>0</v>
      </c>
      <c r="X88" s="449">
        <f t="shared" si="29"/>
        <v>0</v>
      </c>
      <c r="Y88" s="449">
        <f t="shared" si="29"/>
        <v>0</v>
      </c>
      <c r="Z88" s="449">
        <f t="shared" si="29"/>
        <v>0</v>
      </c>
      <c r="AA88" s="449">
        <f t="shared" si="29"/>
        <v>0</v>
      </c>
      <c r="AB88" s="449">
        <f t="shared" si="29"/>
        <v>0</v>
      </c>
      <c r="AC88" s="449">
        <f t="shared" si="29"/>
        <v>0</v>
      </c>
      <c r="AD88" s="449">
        <f t="shared" si="29"/>
        <v>0</v>
      </c>
      <c r="AE88" s="449">
        <f t="shared" si="29"/>
        <v>0</v>
      </c>
      <c r="AF88" s="449">
        <f t="shared" si="29"/>
        <v>0</v>
      </c>
      <c r="AG88" s="449">
        <f t="shared" si="29"/>
        <v>0</v>
      </c>
      <c r="AH88" s="449">
        <f t="shared" si="29"/>
        <v>0</v>
      </c>
      <c r="AI88" s="449">
        <f t="shared" si="29"/>
        <v>0</v>
      </c>
      <c r="AJ88" s="449">
        <f t="shared" si="29"/>
        <v>0</v>
      </c>
      <c r="AK88" s="464">
        <f t="shared" si="22"/>
        <v>0</v>
      </c>
      <c r="AL88" s="465">
        <f>HLOOKUP(LEFT(Summary!D3,2),Actual!F66:AJ156,44,FALSE)</f>
        <v>0</v>
      </c>
      <c r="AM88" s="223"/>
      <c r="AQ88" s="221"/>
    </row>
    <row r="89" spans="1:43" ht="14.25" hidden="1" customHeight="1">
      <c r="C89" s="988"/>
      <c r="D89" s="996"/>
      <c r="E89" s="446" t="s">
        <v>123</v>
      </c>
      <c r="F89" s="447">
        <v>0</v>
      </c>
      <c r="G89" s="447">
        <v>0</v>
      </c>
      <c r="H89" s="447">
        <v>0</v>
      </c>
      <c r="I89" s="447">
        <v>0</v>
      </c>
      <c r="J89" s="447">
        <v>0</v>
      </c>
      <c r="K89" s="447">
        <v>0</v>
      </c>
      <c r="L89" s="447">
        <v>0</v>
      </c>
      <c r="M89" s="447">
        <v>0</v>
      </c>
      <c r="N89" s="447">
        <v>0</v>
      </c>
      <c r="O89" s="447">
        <v>0</v>
      </c>
      <c r="P89" s="447">
        <v>0</v>
      </c>
      <c r="Q89" s="447">
        <v>0</v>
      </c>
      <c r="R89" s="447">
        <v>0</v>
      </c>
      <c r="S89" s="447">
        <v>0</v>
      </c>
      <c r="T89" s="447">
        <v>0</v>
      </c>
      <c r="U89" s="447">
        <v>0</v>
      </c>
      <c r="V89" s="447">
        <v>0</v>
      </c>
      <c r="W89" s="447">
        <v>0</v>
      </c>
      <c r="X89" s="447">
        <v>0</v>
      </c>
      <c r="Y89" s="447">
        <v>0</v>
      </c>
      <c r="Z89" s="447">
        <v>0</v>
      </c>
      <c r="AA89" s="447">
        <v>0</v>
      </c>
      <c r="AB89" s="447">
        <v>0</v>
      </c>
      <c r="AC89" s="447">
        <v>0</v>
      </c>
      <c r="AD89" s="447">
        <v>0</v>
      </c>
      <c r="AE89" s="447">
        <v>0</v>
      </c>
      <c r="AF89" s="447">
        <v>0</v>
      </c>
      <c r="AG89" s="447">
        <v>0</v>
      </c>
      <c r="AH89" s="447">
        <v>0</v>
      </c>
      <c r="AI89" s="447">
        <v>0</v>
      </c>
      <c r="AJ89" s="447">
        <v>0</v>
      </c>
      <c r="AK89" s="447">
        <f t="shared" si="22"/>
        <v>0</v>
      </c>
      <c r="AL89" s="463">
        <f>HLOOKUP(LEFT(Summary!D3,2),Actual!F66:AJ156,45,FALSE)</f>
        <v>0</v>
      </c>
      <c r="AM89" s="223"/>
      <c r="AQ89" s="221"/>
    </row>
    <row r="90" spans="1:43" ht="14.25" hidden="1" customHeight="1">
      <c r="C90" s="988"/>
      <c r="D90" s="996"/>
      <c r="E90" s="452" t="s">
        <v>26</v>
      </c>
      <c r="F90" s="448">
        <v>0</v>
      </c>
      <c r="G90" s="448">
        <v>0</v>
      </c>
      <c r="H90" s="448">
        <v>0</v>
      </c>
      <c r="I90" s="448">
        <v>0</v>
      </c>
      <c r="J90" s="448">
        <v>0</v>
      </c>
      <c r="K90" s="448">
        <v>0</v>
      </c>
      <c r="L90" s="448">
        <v>0</v>
      </c>
      <c r="M90" s="448">
        <v>0</v>
      </c>
      <c r="N90" s="448">
        <v>0</v>
      </c>
      <c r="O90" s="448">
        <v>0</v>
      </c>
      <c r="P90" s="448">
        <v>0</v>
      </c>
      <c r="Q90" s="448">
        <v>0</v>
      </c>
      <c r="R90" s="448">
        <v>0</v>
      </c>
      <c r="S90" s="448">
        <v>0</v>
      </c>
      <c r="T90" s="448">
        <v>0</v>
      </c>
      <c r="U90" s="448">
        <v>0</v>
      </c>
      <c r="V90" s="448">
        <v>0</v>
      </c>
      <c r="W90" s="448">
        <v>0</v>
      </c>
      <c r="X90" s="448">
        <v>0</v>
      </c>
      <c r="Y90" s="448">
        <v>0</v>
      </c>
      <c r="Z90" s="448">
        <v>0</v>
      </c>
      <c r="AA90" s="448">
        <v>0</v>
      </c>
      <c r="AB90" s="448">
        <v>0</v>
      </c>
      <c r="AC90" s="448">
        <v>0</v>
      </c>
      <c r="AD90" s="448">
        <v>0</v>
      </c>
      <c r="AE90" s="448">
        <v>0</v>
      </c>
      <c r="AF90" s="448">
        <v>0</v>
      </c>
      <c r="AG90" s="448">
        <v>0</v>
      </c>
      <c r="AH90" s="448">
        <v>0</v>
      </c>
      <c r="AI90" s="448">
        <v>0</v>
      </c>
      <c r="AJ90" s="448">
        <v>0</v>
      </c>
      <c r="AK90" s="448">
        <f t="shared" si="22"/>
        <v>0</v>
      </c>
      <c r="AL90" s="467">
        <f>HLOOKUP(LEFT(Summary!D3,2),Actual!F66:AJ156,46,FALSE)</f>
        <v>0</v>
      </c>
      <c r="AM90" s="223"/>
      <c r="AQ90" s="221"/>
    </row>
    <row r="91" spans="1:43" ht="14.25" hidden="1" customHeight="1">
      <c r="C91" s="988"/>
      <c r="D91" s="996"/>
      <c r="E91" s="361" t="s">
        <v>126</v>
      </c>
      <c r="F91" s="453">
        <f t="shared" ref="F91:AJ91" si="30">SUM(F92:F93)</f>
        <v>0</v>
      </c>
      <c r="G91" s="453">
        <f t="shared" si="30"/>
        <v>0</v>
      </c>
      <c r="H91" s="453">
        <f t="shared" si="30"/>
        <v>0</v>
      </c>
      <c r="I91" s="453">
        <f t="shared" si="30"/>
        <v>0</v>
      </c>
      <c r="J91" s="453">
        <f t="shared" si="30"/>
        <v>0</v>
      </c>
      <c r="K91" s="453">
        <f t="shared" si="30"/>
        <v>0</v>
      </c>
      <c r="L91" s="453">
        <f t="shared" si="30"/>
        <v>0</v>
      </c>
      <c r="M91" s="453">
        <f t="shared" si="30"/>
        <v>0</v>
      </c>
      <c r="N91" s="453">
        <f t="shared" si="30"/>
        <v>0</v>
      </c>
      <c r="O91" s="453">
        <f t="shared" si="30"/>
        <v>0</v>
      </c>
      <c r="P91" s="453">
        <f t="shared" si="30"/>
        <v>0</v>
      </c>
      <c r="Q91" s="453">
        <f t="shared" si="30"/>
        <v>0</v>
      </c>
      <c r="R91" s="453">
        <f t="shared" si="30"/>
        <v>0</v>
      </c>
      <c r="S91" s="453">
        <f t="shared" si="30"/>
        <v>0</v>
      </c>
      <c r="T91" s="453">
        <f t="shared" si="30"/>
        <v>0</v>
      </c>
      <c r="U91" s="453">
        <f t="shared" si="30"/>
        <v>0</v>
      </c>
      <c r="V91" s="453">
        <f t="shared" si="30"/>
        <v>0</v>
      </c>
      <c r="W91" s="453">
        <f t="shared" si="30"/>
        <v>0</v>
      </c>
      <c r="X91" s="453">
        <f t="shared" si="30"/>
        <v>0</v>
      </c>
      <c r="Y91" s="453">
        <f t="shared" si="30"/>
        <v>0</v>
      </c>
      <c r="Z91" s="453">
        <f t="shared" si="30"/>
        <v>0</v>
      </c>
      <c r="AA91" s="453">
        <f t="shared" si="30"/>
        <v>0</v>
      </c>
      <c r="AB91" s="453">
        <f t="shared" si="30"/>
        <v>0</v>
      </c>
      <c r="AC91" s="453">
        <f t="shared" si="30"/>
        <v>0</v>
      </c>
      <c r="AD91" s="453">
        <f t="shared" si="30"/>
        <v>0</v>
      </c>
      <c r="AE91" s="453">
        <f t="shared" si="30"/>
        <v>0</v>
      </c>
      <c r="AF91" s="453">
        <f t="shared" si="30"/>
        <v>0</v>
      </c>
      <c r="AG91" s="453">
        <f t="shared" si="30"/>
        <v>0</v>
      </c>
      <c r="AH91" s="453">
        <f t="shared" si="30"/>
        <v>0</v>
      </c>
      <c r="AI91" s="453">
        <f t="shared" si="30"/>
        <v>0</v>
      </c>
      <c r="AJ91" s="453">
        <f t="shared" si="30"/>
        <v>0</v>
      </c>
      <c r="AK91" s="471">
        <f t="shared" si="22"/>
        <v>0</v>
      </c>
      <c r="AL91" s="472">
        <f>HLOOKUP(LEFT(Summary!D3,2),Actual!F66:AJ156,47,FALSE)</f>
        <v>0</v>
      </c>
      <c r="AM91" s="223"/>
      <c r="AQ91" s="221"/>
    </row>
    <row r="92" spans="1:43" ht="14.25" hidden="1" customHeight="1">
      <c r="C92" s="988"/>
      <c r="D92" s="996"/>
      <c r="E92" s="446" t="s">
        <v>123</v>
      </c>
      <c r="F92" s="447">
        <v>0</v>
      </c>
      <c r="G92" s="447">
        <v>0</v>
      </c>
      <c r="H92" s="447">
        <v>0</v>
      </c>
      <c r="I92" s="447">
        <v>0</v>
      </c>
      <c r="J92" s="447">
        <v>0</v>
      </c>
      <c r="K92" s="447">
        <v>0</v>
      </c>
      <c r="L92" s="447">
        <v>0</v>
      </c>
      <c r="M92" s="447">
        <v>0</v>
      </c>
      <c r="N92" s="447">
        <v>0</v>
      </c>
      <c r="O92" s="447">
        <v>0</v>
      </c>
      <c r="P92" s="447">
        <v>0</v>
      </c>
      <c r="Q92" s="447">
        <v>0</v>
      </c>
      <c r="R92" s="447">
        <v>0</v>
      </c>
      <c r="S92" s="447">
        <v>0</v>
      </c>
      <c r="T92" s="447">
        <v>0</v>
      </c>
      <c r="U92" s="447">
        <v>0</v>
      </c>
      <c r="V92" s="447">
        <v>0</v>
      </c>
      <c r="W92" s="447">
        <v>0</v>
      </c>
      <c r="X92" s="447">
        <v>0</v>
      </c>
      <c r="Y92" s="447">
        <v>0</v>
      </c>
      <c r="Z92" s="447">
        <v>0</v>
      </c>
      <c r="AA92" s="447">
        <v>0</v>
      </c>
      <c r="AB92" s="447">
        <v>0</v>
      </c>
      <c r="AC92" s="447">
        <v>0</v>
      </c>
      <c r="AD92" s="447">
        <v>0</v>
      </c>
      <c r="AE92" s="447">
        <v>0</v>
      </c>
      <c r="AF92" s="447">
        <v>0</v>
      </c>
      <c r="AG92" s="447">
        <v>0</v>
      </c>
      <c r="AH92" s="447">
        <v>0</v>
      </c>
      <c r="AI92" s="447">
        <v>0</v>
      </c>
      <c r="AJ92" s="447">
        <v>0</v>
      </c>
      <c r="AK92" s="447">
        <f t="shared" si="22"/>
        <v>0</v>
      </c>
      <c r="AL92" s="463">
        <f>HLOOKUP(LEFT(Summary!D3,2),Actual!F66:AJ156,48,FALSE)</f>
        <v>0</v>
      </c>
      <c r="AM92" s="223"/>
      <c r="AQ92" s="221"/>
    </row>
    <row r="93" spans="1:43" ht="14.25" hidden="1" customHeight="1">
      <c r="C93" s="988"/>
      <c r="D93" s="996"/>
      <c r="E93" s="452" t="s">
        <v>26</v>
      </c>
      <c r="F93" s="448">
        <v>0</v>
      </c>
      <c r="G93" s="448">
        <v>0</v>
      </c>
      <c r="H93" s="448">
        <v>0</v>
      </c>
      <c r="I93" s="448">
        <v>0</v>
      </c>
      <c r="J93" s="448">
        <v>0</v>
      </c>
      <c r="K93" s="448">
        <v>0</v>
      </c>
      <c r="L93" s="448">
        <v>0</v>
      </c>
      <c r="M93" s="448">
        <v>0</v>
      </c>
      <c r="N93" s="448">
        <v>0</v>
      </c>
      <c r="O93" s="448">
        <v>0</v>
      </c>
      <c r="P93" s="448">
        <v>0</v>
      </c>
      <c r="Q93" s="448">
        <v>0</v>
      </c>
      <c r="R93" s="448">
        <v>0</v>
      </c>
      <c r="S93" s="448">
        <v>0</v>
      </c>
      <c r="T93" s="448">
        <v>0</v>
      </c>
      <c r="U93" s="448">
        <v>0</v>
      </c>
      <c r="V93" s="448">
        <v>0</v>
      </c>
      <c r="W93" s="448">
        <v>0</v>
      </c>
      <c r="X93" s="448">
        <v>0</v>
      </c>
      <c r="Y93" s="448">
        <v>0</v>
      </c>
      <c r="Z93" s="448">
        <v>0</v>
      </c>
      <c r="AA93" s="448">
        <v>0</v>
      </c>
      <c r="AB93" s="448">
        <v>0</v>
      </c>
      <c r="AC93" s="448">
        <v>0</v>
      </c>
      <c r="AD93" s="448">
        <v>0</v>
      </c>
      <c r="AE93" s="448">
        <v>0</v>
      </c>
      <c r="AF93" s="448">
        <v>0</v>
      </c>
      <c r="AG93" s="448">
        <v>0</v>
      </c>
      <c r="AH93" s="448">
        <v>0</v>
      </c>
      <c r="AI93" s="448">
        <v>0</v>
      </c>
      <c r="AJ93" s="448">
        <v>0</v>
      </c>
      <c r="AK93" s="448">
        <f t="shared" si="22"/>
        <v>0</v>
      </c>
      <c r="AL93" s="467">
        <f>HLOOKUP(LEFT(Summary!D3,2),Actual!F66:AJ156,49,FALSE)</f>
        <v>0</v>
      </c>
      <c r="AM93" s="223"/>
      <c r="AQ93" s="221"/>
    </row>
    <row r="94" spans="1:43" ht="14.25" customHeight="1">
      <c r="C94" s="988"/>
      <c r="D94" s="996"/>
      <c r="E94" s="378" t="s">
        <v>147</v>
      </c>
      <c r="F94" s="449">
        <f t="shared" ref="F94:AH94" si="31">SUM(F95:F96)</f>
        <v>0</v>
      </c>
      <c r="G94" s="449">
        <f t="shared" si="31"/>
        <v>0</v>
      </c>
      <c r="H94" s="449">
        <f t="shared" si="31"/>
        <v>0</v>
      </c>
      <c r="I94" s="449">
        <f t="shared" si="31"/>
        <v>0</v>
      </c>
      <c r="J94" s="449">
        <f t="shared" si="31"/>
        <v>0</v>
      </c>
      <c r="K94" s="449">
        <f t="shared" si="31"/>
        <v>0</v>
      </c>
      <c r="L94" s="449">
        <f t="shared" si="31"/>
        <v>0</v>
      </c>
      <c r="M94" s="449">
        <f t="shared" si="31"/>
        <v>0</v>
      </c>
      <c r="N94" s="449">
        <f t="shared" si="31"/>
        <v>0</v>
      </c>
      <c r="O94" s="449">
        <f t="shared" si="31"/>
        <v>0</v>
      </c>
      <c r="P94" s="449">
        <f t="shared" si="31"/>
        <v>0</v>
      </c>
      <c r="Q94" s="449">
        <f t="shared" si="31"/>
        <v>0</v>
      </c>
      <c r="R94" s="449">
        <f t="shared" si="31"/>
        <v>0</v>
      </c>
      <c r="S94" s="449">
        <f t="shared" si="31"/>
        <v>0</v>
      </c>
      <c r="T94" s="449">
        <f t="shared" si="31"/>
        <v>0</v>
      </c>
      <c r="U94" s="449">
        <f t="shared" si="31"/>
        <v>0</v>
      </c>
      <c r="V94" s="449">
        <f t="shared" si="31"/>
        <v>0</v>
      </c>
      <c r="W94" s="449">
        <f t="shared" si="31"/>
        <v>0</v>
      </c>
      <c r="X94" s="449">
        <f t="shared" si="31"/>
        <v>0</v>
      </c>
      <c r="Y94" s="449">
        <f t="shared" si="31"/>
        <v>0</v>
      </c>
      <c r="Z94" s="449">
        <f t="shared" si="31"/>
        <v>0</v>
      </c>
      <c r="AA94" s="449">
        <f t="shared" si="31"/>
        <v>0</v>
      </c>
      <c r="AB94" s="449">
        <f t="shared" si="31"/>
        <v>0</v>
      </c>
      <c r="AC94" s="449">
        <f t="shared" si="31"/>
        <v>0</v>
      </c>
      <c r="AD94" s="449">
        <f t="shared" si="31"/>
        <v>0</v>
      </c>
      <c r="AE94" s="449">
        <f t="shared" si="31"/>
        <v>0</v>
      </c>
      <c r="AF94" s="449">
        <f t="shared" si="31"/>
        <v>0</v>
      </c>
      <c r="AG94" s="449">
        <f t="shared" si="31"/>
        <v>0</v>
      </c>
      <c r="AH94" s="449">
        <f t="shared" si="31"/>
        <v>0</v>
      </c>
      <c r="AI94" s="449">
        <f>AI95+AI96</f>
        <v>0</v>
      </c>
      <c r="AJ94" s="449">
        <f>SUM(AJ95:AJ96)</f>
        <v>0</v>
      </c>
      <c r="AK94" s="464">
        <f t="shared" si="22"/>
        <v>0</v>
      </c>
      <c r="AL94" s="465">
        <f>HLOOKUP(LEFT(Summary!D3,2),Actual!F66:AJ156,50,FALSE)</f>
        <v>0</v>
      </c>
      <c r="AM94" s="470"/>
      <c r="AQ94" s="221"/>
    </row>
    <row r="95" spans="1:43" ht="14.25" customHeight="1">
      <c r="C95" s="988"/>
      <c r="D95" s="996"/>
      <c r="E95" s="446" t="s">
        <v>123</v>
      </c>
      <c r="F95" s="447">
        <v>0</v>
      </c>
      <c r="G95" s="447">
        <v>0</v>
      </c>
      <c r="H95" s="447">
        <v>0</v>
      </c>
      <c r="I95" s="447">
        <v>0</v>
      </c>
      <c r="J95" s="447">
        <v>0</v>
      </c>
      <c r="K95" s="447">
        <v>0</v>
      </c>
      <c r="L95" s="447">
        <v>0</v>
      </c>
      <c r="M95" s="447">
        <v>0</v>
      </c>
      <c r="N95" s="447">
        <v>0</v>
      </c>
      <c r="O95" s="447">
        <v>0</v>
      </c>
      <c r="P95" s="447">
        <v>0</v>
      </c>
      <c r="Q95" s="447">
        <v>0</v>
      </c>
      <c r="R95" s="447">
        <v>0</v>
      </c>
      <c r="S95" s="447">
        <v>0</v>
      </c>
      <c r="T95" s="447">
        <v>0</v>
      </c>
      <c r="U95" s="447">
        <v>0</v>
      </c>
      <c r="V95" s="447">
        <v>0</v>
      </c>
      <c r="W95" s="447">
        <v>0</v>
      </c>
      <c r="X95" s="447">
        <v>0</v>
      </c>
      <c r="Y95" s="447">
        <v>0</v>
      </c>
      <c r="Z95" s="447">
        <v>0</v>
      </c>
      <c r="AA95" s="447">
        <v>0</v>
      </c>
      <c r="AB95" s="447">
        <v>0</v>
      </c>
      <c r="AC95" s="447">
        <v>0</v>
      </c>
      <c r="AD95" s="447">
        <v>0</v>
      </c>
      <c r="AE95" s="447">
        <v>0</v>
      </c>
      <c r="AF95" s="447">
        <v>0</v>
      </c>
      <c r="AG95" s="447">
        <v>0</v>
      </c>
      <c r="AH95" s="447">
        <v>0</v>
      </c>
      <c r="AI95" s="447">
        <v>0</v>
      </c>
      <c r="AJ95" s="447">
        <v>0</v>
      </c>
      <c r="AK95" s="447">
        <v>0</v>
      </c>
      <c r="AL95" s="463">
        <f>HLOOKUP(LEFT(Summary!D3,2),Actual!F66:AJ156,51,FALSE)</f>
        <v>0</v>
      </c>
      <c r="AM95" s="223"/>
      <c r="AQ95" s="221"/>
    </row>
    <row r="96" spans="1:43" ht="14.25" customHeight="1">
      <c r="A96" s="454"/>
      <c r="C96" s="988"/>
      <c r="D96" s="996"/>
      <c r="E96" s="452" t="s">
        <v>26</v>
      </c>
      <c r="F96" s="448">
        <v>0</v>
      </c>
      <c r="G96" s="448">
        <v>0</v>
      </c>
      <c r="H96" s="448">
        <v>0</v>
      </c>
      <c r="I96" s="448"/>
      <c r="J96" s="448">
        <v>0</v>
      </c>
      <c r="K96" s="448">
        <v>0</v>
      </c>
      <c r="L96" s="448">
        <v>0</v>
      </c>
      <c r="M96" s="448">
        <v>0</v>
      </c>
      <c r="N96" s="448">
        <v>0</v>
      </c>
      <c r="O96" s="448">
        <v>0</v>
      </c>
      <c r="P96" s="448"/>
      <c r="Q96" s="448"/>
      <c r="R96" s="448">
        <v>0</v>
      </c>
      <c r="S96" s="448">
        <v>0</v>
      </c>
      <c r="T96" s="448">
        <v>0</v>
      </c>
      <c r="U96" s="448">
        <v>0</v>
      </c>
      <c r="V96" s="448">
        <v>0</v>
      </c>
      <c r="W96" s="448">
        <v>0</v>
      </c>
      <c r="X96" s="448">
        <v>0</v>
      </c>
      <c r="Y96" s="448">
        <v>0</v>
      </c>
      <c r="Z96" s="448">
        <v>0</v>
      </c>
      <c r="AA96" s="448">
        <v>0</v>
      </c>
      <c r="AB96" s="448">
        <v>0</v>
      </c>
      <c r="AC96" s="448">
        <v>0</v>
      </c>
      <c r="AD96" s="448">
        <v>0</v>
      </c>
      <c r="AE96" s="448">
        <v>0</v>
      </c>
      <c r="AF96" s="448">
        <v>0</v>
      </c>
      <c r="AG96" s="448">
        <v>0</v>
      </c>
      <c r="AH96" s="448">
        <v>0</v>
      </c>
      <c r="AI96" s="448">
        <v>0</v>
      </c>
      <c r="AJ96" s="448">
        <v>0</v>
      </c>
      <c r="AK96" s="448">
        <v>0</v>
      </c>
      <c r="AL96" s="467">
        <f>HLOOKUP(LEFT(Summary!D3,2),Actual!F66:AJ156,52,FALSE)</f>
        <v>0</v>
      </c>
      <c r="AM96" s="223"/>
      <c r="AQ96" s="221"/>
    </row>
    <row r="97" spans="1:39" ht="14.25" customHeight="1">
      <c r="C97" s="988"/>
      <c r="D97" s="996"/>
      <c r="E97" s="378" t="s">
        <v>146</v>
      </c>
      <c r="F97" s="449">
        <f t="shared" ref="F97:AH97" si="32">SUM(F98:F99)</f>
        <v>0</v>
      </c>
      <c r="G97" s="449">
        <f t="shared" si="32"/>
        <v>0</v>
      </c>
      <c r="H97" s="449">
        <f t="shared" si="32"/>
        <v>0</v>
      </c>
      <c r="I97" s="449">
        <f t="shared" si="32"/>
        <v>0</v>
      </c>
      <c r="J97" s="449">
        <f t="shared" si="32"/>
        <v>0</v>
      </c>
      <c r="K97" s="449">
        <f t="shared" si="32"/>
        <v>0</v>
      </c>
      <c r="L97" s="449">
        <f t="shared" si="32"/>
        <v>0</v>
      </c>
      <c r="M97" s="449">
        <f t="shared" si="32"/>
        <v>0</v>
      </c>
      <c r="N97" s="449">
        <f t="shared" si="32"/>
        <v>0</v>
      </c>
      <c r="O97" s="449">
        <f t="shared" si="32"/>
        <v>0</v>
      </c>
      <c r="P97" s="449">
        <f t="shared" si="32"/>
        <v>0</v>
      </c>
      <c r="Q97" s="449">
        <f t="shared" si="32"/>
        <v>0</v>
      </c>
      <c r="R97" s="449">
        <f t="shared" si="32"/>
        <v>0</v>
      </c>
      <c r="S97" s="449">
        <f t="shared" si="32"/>
        <v>0</v>
      </c>
      <c r="T97" s="449">
        <f t="shared" si="32"/>
        <v>0</v>
      </c>
      <c r="U97" s="449">
        <f t="shared" si="32"/>
        <v>0</v>
      </c>
      <c r="V97" s="449">
        <f t="shared" si="32"/>
        <v>0</v>
      </c>
      <c r="W97" s="449">
        <f t="shared" si="32"/>
        <v>0</v>
      </c>
      <c r="X97" s="449">
        <f t="shared" si="32"/>
        <v>0</v>
      </c>
      <c r="Y97" s="449">
        <f t="shared" si="32"/>
        <v>0</v>
      </c>
      <c r="Z97" s="449">
        <f t="shared" si="32"/>
        <v>0</v>
      </c>
      <c r="AA97" s="449">
        <f t="shared" si="32"/>
        <v>0</v>
      </c>
      <c r="AB97" s="449">
        <f t="shared" si="32"/>
        <v>0</v>
      </c>
      <c r="AC97" s="449">
        <f t="shared" si="32"/>
        <v>0</v>
      </c>
      <c r="AD97" s="449">
        <f t="shared" si="32"/>
        <v>0</v>
      </c>
      <c r="AE97" s="449">
        <f t="shared" si="32"/>
        <v>0</v>
      </c>
      <c r="AF97" s="449">
        <f t="shared" si="32"/>
        <v>0</v>
      </c>
      <c r="AG97" s="449">
        <f t="shared" si="32"/>
        <v>0</v>
      </c>
      <c r="AH97" s="449">
        <f t="shared" si="32"/>
        <v>0</v>
      </c>
      <c r="AI97" s="449">
        <f>AI98+AI99</f>
        <v>0</v>
      </c>
      <c r="AJ97" s="449">
        <f>SUM(AJ98:AJ99)</f>
        <v>0</v>
      </c>
      <c r="AK97" s="464">
        <f>SUM(F97:AJ97)</f>
        <v>0</v>
      </c>
      <c r="AL97" s="465">
        <f>HLOOKUP(LEFT(Summary!D3,2),Actual!F66:AJ156,77,FALSE)</f>
        <v>0</v>
      </c>
      <c r="AM97" s="335">
        <f>SUM(AK97,AK121)</f>
        <v>0</v>
      </c>
    </row>
    <row r="98" spans="1:39" ht="14.25" customHeight="1">
      <c r="C98" s="988"/>
      <c r="D98" s="996"/>
      <c r="E98" s="446" t="s">
        <v>123</v>
      </c>
      <c r="F98" s="447">
        <v>0</v>
      </c>
      <c r="G98" s="447">
        <v>0</v>
      </c>
      <c r="H98" s="447">
        <v>0</v>
      </c>
      <c r="I98" s="447">
        <v>0</v>
      </c>
      <c r="J98" s="447">
        <v>0</v>
      </c>
      <c r="K98" s="447">
        <v>0</v>
      </c>
      <c r="L98" s="447">
        <v>0</v>
      </c>
      <c r="M98" s="447">
        <v>0</v>
      </c>
      <c r="N98" s="447">
        <v>0</v>
      </c>
      <c r="O98" s="447">
        <v>0</v>
      </c>
      <c r="P98" s="447">
        <v>0</v>
      </c>
      <c r="Q98" s="447">
        <v>0</v>
      </c>
      <c r="R98" s="447">
        <v>0</v>
      </c>
      <c r="S98" s="447">
        <v>0</v>
      </c>
      <c r="T98" s="447">
        <v>0</v>
      </c>
      <c r="U98" s="447">
        <v>0</v>
      </c>
      <c r="V98" s="447">
        <v>0</v>
      </c>
      <c r="W98" s="447">
        <v>0</v>
      </c>
      <c r="X98" s="447">
        <v>0</v>
      </c>
      <c r="Y98" s="447">
        <v>0</v>
      </c>
      <c r="Z98" s="447">
        <v>0</v>
      </c>
      <c r="AA98" s="447">
        <v>0</v>
      </c>
      <c r="AB98" s="447">
        <v>0</v>
      </c>
      <c r="AC98" s="447">
        <v>0</v>
      </c>
      <c r="AD98" s="447">
        <v>0</v>
      </c>
      <c r="AE98" s="447">
        <v>0</v>
      </c>
      <c r="AF98" s="447">
        <v>0</v>
      </c>
      <c r="AG98" s="447">
        <v>0</v>
      </c>
      <c r="AH98" s="447">
        <v>0</v>
      </c>
      <c r="AI98" s="447">
        <v>0</v>
      </c>
      <c r="AJ98" s="447">
        <v>0</v>
      </c>
      <c r="AK98" s="447">
        <v>0</v>
      </c>
      <c r="AL98" s="463">
        <f>HLOOKUP(LEFT(Summary!D3,2),Actual!F66:AJ156,78,FALSE)</f>
        <v>0</v>
      </c>
      <c r="AM98" s="223"/>
    </row>
    <row r="99" spans="1:39" ht="14.25" customHeight="1">
      <c r="B99" s="221"/>
      <c r="C99" s="988"/>
      <c r="D99" s="996"/>
      <c r="E99" s="452" t="s">
        <v>26</v>
      </c>
      <c r="F99" s="448">
        <v>0</v>
      </c>
      <c r="G99" s="448">
        <v>0</v>
      </c>
      <c r="H99" s="448">
        <v>0</v>
      </c>
      <c r="I99" s="448">
        <v>0</v>
      </c>
      <c r="J99" s="448">
        <v>0</v>
      </c>
      <c r="K99" s="448">
        <v>0</v>
      </c>
      <c r="L99" s="448">
        <v>0</v>
      </c>
      <c r="M99" s="448">
        <v>0</v>
      </c>
      <c r="N99" s="448">
        <v>0</v>
      </c>
      <c r="O99" s="448">
        <v>0</v>
      </c>
      <c r="P99" s="448"/>
      <c r="Q99" s="448">
        <v>0</v>
      </c>
      <c r="R99" s="448">
        <v>0</v>
      </c>
      <c r="S99" s="448">
        <v>0</v>
      </c>
      <c r="T99" s="448">
        <v>0</v>
      </c>
      <c r="U99" s="448">
        <v>0</v>
      </c>
      <c r="V99" s="448">
        <v>0</v>
      </c>
      <c r="W99" s="448">
        <v>0</v>
      </c>
      <c r="X99" s="448">
        <v>0</v>
      </c>
      <c r="Y99" s="448">
        <v>0</v>
      </c>
      <c r="Z99" s="448">
        <v>0</v>
      </c>
      <c r="AA99" s="448">
        <v>0</v>
      </c>
      <c r="AB99" s="448">
        <v>0</v>
      </c>
      <c r="AC99" s="448">
        <v>0</v>
      </c>
      <c r="AD99" s="448">
        <v>0</v>
      </c>
      <c r="AE99" s="448">
        <v>0</v>
      </c>
      <c r="AF99" s="448">
        <v>0</v>
      </c>
      <c r="AG99" s="448">
        <v>0</v>
      </c>
      <c r="AH99" s="448">
        <v>0</v>
      </c>
      <c r="AI99" s="448">
        <v>0</v>
      </c>
      <c r="AJ99" s="448">
        <v>0</v>
      </c>
      <c r="AK99" s="448">
        <v>0</v>
      </c>
      <c r="AL99" s="466">
        <f>HLOOKUP(LEFT(Summary!D3,2),Actual!F66:AJ156,79,FALSE)</f>
        <v>0</v>
      </c>
      <c r="AM99" s="223"/>
    </row>
    <row r="100" spans="1:39" ht="14.25" customHeight="1">
      <c r="C100" s="988"/>
      <c r="D100" s="996"/>
      <c r="E100" s="378" t="s">
        <v>131</v>
      </c>
      <c r="F100" s="449">
        <f t="shared" ref="F100:K100" si="33">SUM(F101:F102)</f>
        <v>0</v>
      </c>
      <c r="G100" s="449">
        <f t="shared" si="33"/>
        <v>0</v>
      </c>
      <c r="H100" s="449">
        <f t="shared" si="33"/>
        <v>0</v>
      </c>
      <c r="I100" s="449">
        <f t="shared" si="33"/>
        <v>0</v>
      </c>
      <c r="J100" s="449">
        <f t="shared" si="33"/>
        <v>0</v>
      </c>
      <c r="K100" s="449">
        <f t="shared" si="33"/>
        <v>0</v>
      </c>
      <c r="L100" s="449">
        <f>L101+L102</f>
        <v>0</v>
      </c>
      <c r="M100" s="449">
        <f t="shared" ref="M100:AJ100" si="34">SUM(M101:M102)</f>
        <v>0</v>
      </c>
      <c r="N100" s="449">
        <f t="shared" si="34"/>
        <v>0</v>
      </c>
      <c r="O100" s="449">
        <f t="shared" si="34"/>
        <v>0</v>
      </c>
      <c r="P100" s="449">
        <f t="shared" si="34"/>
        <v>0</v>
      </c>
      <c r="Q100" s="449">
        <f t="shared" si="34"/>
        <v>0</v>
      </c>
      <c r="R100" s="449">
        <f t="shared" si="34"/>
        <v>0</v>
      </c>
      <c r="S100" s="449">
        <f t="shared" si="34"/>
        <v>0</v>
      </c>
      <c r="T100" s="449">
        <f t="shared" si="34"/>
        <v>0</v>
      </c>
      <c r="U100" s="449">
        <f t="shared" si="34"/>
        <v>0</v>
      </c>
      <c r="V100" s="449">
        <f t="shared" si="34"/>
        <v>0</v>
      </c>
      <c r="W100" s="449">
        <f t="shared" si="34"/>
        <v>0</v>
      </c>
      <c r="X100" s="449">
        <f t="shared" si="34"/>
        <v>0</v>
      </c>
      <c r="Y100" s="449">
        <f t="shared" si="34"/>
        <v>0</v>
      </c>
      <c r="Z100" s="449">
        <f t="shared" si="34"/>
        <v>0</v>
      </c>
      <c r="AA100" s="449">
        <f t="shared" si="34"/>
        <v>0</v>
      </c>
      <c r="AB100" s="449">
        <f t="shared" si="34"/>
        <v>0</v>
      </c>
      <c r="AC100" s="449">
        <f t="shared" si="34"/>
        <v>0</v>
      </c>
      <c r="AD100" s="449">
        <f t="shared" si="34"/>
        <v>0</v>
      </c>
      <c r="AE100" s="449">
        <f t="shared" si="34"/>
        <v>0</v>
      </c>
      <c r="AF100" s="449">
        <f t="shared" si="34"/>
        <v>0</v>
      </c>
      <c r="AG100" s="449">
        <f t="shared" si="34"/>
        <v>0</v>
      </c>
      <c r="AH100" s="449">
        <f t="shared" si="34"/>
        <v>0</v>
      </c>
      <c r="AI100" s="449">
        <f t="shared" si="34"/>
        <v>0</v>
      </c>
      <c r="AJ100" s="449">
        <f t="shared" si="34"/>
        <v>0</v>
      </c>
      <c r="AK100" s="464">
        <f>SUM(F100:AJ100)</f>
        <v>0</v>
      </c>
      <c r="AL100" s="473">
        <f>HLOOKUP(LEFT(Summary!D3,2),Actual!F66:AJ156,53,FALSE)</f>
        <v>0</v>
      </c>
      <c r="AM100" s="223"/>
    </row>
    <row r="101" spans="1:39" ht="14.25" customHeight="1">
      <c r="C101" s="988"/>
      <c r="D101" s="996"/>
      <c r="E101" s="446" t="s">
        <v>123</v>
      </c>
      <c r="F101" s="447">
        <v>0</v>
      </c>
      <c r="G101" s="447">
        <v>0</v>
      </c>
      <c r="H101" s="447">
        <v>0</v>
      </c>
      <c r="I101" s="447">
        <v>0</v>
      </c>
      <c r="J101" s="447">
        <v>0</v>
      </c>
      <c r="K101" s="447">
        <v>0</v>
      </c>
      <c r="L101" s="447">
        <v>0</v>
      </c>
      <c r="M101" s="447">
        <v>0</v>
      </c>
      <c r="N101" s="447">
        <v>0</v>
      </c>
      <c r="O101" s="447">
        <v>0</v>
      </c>
      <c r="P101" s="447">
        <v>0</v>
      </c>
      <c r="Q101" s="447">
        <v>0</v>
      </c>
      <c r="R101" s="447">
        <v>0</v>
      </c>
      <c r="S101" s="447">
        <v>0</v>
      </c>
      <c r="T101" s="447">
        <v>0</v>
      </c>
      <c r="U101" s="447">
        <v>0</v>
      </c>
      <c r="V101" s="447">
        <v>0</v>
      </c>
      <c r="W101" s="447">
        <v>0</v>
      </c>
      <c r="X101" s="447">
        <v>0</v>
      </c>
      <c r="Y101" s="447">
        <v>0</v>
      </c>
      <c r="Z101" s="447">
        <v>0</v>
      </c>
      <c r="AA101" s="447">
        <v>0</v>
      </c>
      <c r="AB101" s="447">
        <v>0</v>
      </c>
      <c r="AC101" s="447">
        <v>0</v>
      </c>
      <c r="AD101" s="447">
        <v>0</v>
      </c>
      <c r="AE101" s="447">
        <v>0</v>
      </c>
      <c r="AF101" s="447">
        <v>0</v>
      </c>
      <c r="AG101" s="447">
        <v>0</v>
      </c>
      <c r="AH101" s="447">
        <v>0</v>
      </c>
      <c r="AI101" s="447">
        <v>0</v>
      </c>
      <c r="AJ101" s="447">
        <v>0</v>
      </c>
      <c r="AK101" s="447">
        <v>0</v>
      </c>
      <c r="AL101" s="463">
        <f>HLOOKUP(LEFT(Summary!D3,2),Actual!F66:AJ156,54,FALSE)</f>
        <v>0</v>
      </c>
      <c r="AM101" s="223"/>
    </row>
    <row r="102" spans="1:39" ht="14.25" customHeight="1">
      <c r="A102" s="221"/>
      <c r="C102" s="988"/>
      <c r="D102" s="996"/>
      <c r="E102" s="452" t="s">
        <v>26</v>
      </c>
      <c r="F102" s="448">
        <v>0</v>
      </c>
      <c r="G102" s="448">
        <v>0</v>
      </c>
      <c r="H102" s="448">
        <v>0</v>
      </c>
      <c r="I102" s="448">
        <v>0</v>
      </c>
      <c r="J102" s="448">
        <v>0</v>
      </c>
      <c r="K102" s="448">
        <v>0</v>
      </c>
      <c r="L102" s="448">
        <v>0</v>
      </c>
      <c r="M102" s="448">
        <v>0</v>
      </c>
      <c r="N102" s="448">
        <v>0</v>
      </c>
      <c r="O102" s="448">
        <v>0</v>
      </c>
      <c r="P102" s="448">
        <v>0</v>
      </c>
      <c r="Q102" s="448">
        <v>0</v>
      </c>
      <c r="R102" s="448">
        <v>0</v>
      </c>
      <c r="S102" s="448">
        <v>0</v>
      </c>
      <c r="T102" s="448">
        <v>0</v>
      </c>
      <c r="U102" s="448">
        <v>0</v>
      </c>
      <c r="V102" s="448">
        <v>0</v>
      </c>
      <c r="W102" s="448">
        <v>0</v>
      </c>
      <c r="X102" s="448">
        <v>0</v>
      </c>
      <c r="Y102" s="448">
        <v>0</v>
      </c>
      <c r="Z102" s="448">
        <v>0</v>
      </c>
      <c r="AA102" s="448">
        <v>0</v>
      </c>
      <c r="AB102" s="448">
        <v>0</v>
      </c>
      <c r="AC102" s="448">
        <v>0</v>
      </c>
      <c r="AD102" s="448">
        <v>0</v>
      </c>
      <c r="AE102" s="448">
        <v>0</v>
      </c>
      <c r="AF102" s="448">
        <v>0</v>
      </c>
      <c r="AG102" s="448">
        <v>0</v>
      </c>
      <c r="AH102" s="448">
        <v>0</v>
      </c>
      <c r="AI102" s="448">
        <v>0</v>
      </c>
      <c r="AJ102" s="448">
        <v>0</v>
      </c>
      <c r="AK102" s="451">
        <v>0</v>
      </c>
      <c r="AL102" s="466">
        <f>HLOOKUP(LEFT(Summary!D3,2),Actual!F66:AJ156,55,FALSE)</f>
        <v>0</v>
      </c>
      <c r="AM102" s="223"/>
    </row>
    <row r="103" spans="1:39" ht="14.25" customHeight="1">
      <c r="C103" s="988"/>
      <c r="D103" s="996"/>
      <c r="E103" s="361" t="s">
        <v>132</v>
      </c>
      <c r="F103" s="445">
        <f t="shared" ref="F103:K103" si="35">SUM(F104:F105)</f>
        <v>0</v>
      </c>
      <c r="G103" s="445">
        <f t="shared" si="35"/>
        <v>0</v>
      </c>
      <c r="H103" s="445">
        <f t="shared" si="35"/>
        <v>0</v>
      </c>
      <c r="I103" s="445">
        <f t="shared" si="35"/>
        <v>0</v>
      </c>
      <c r="J103" s="445">
        <f t="shared" si="35"/>
        <v>0</v>
      </c>
      <c r="K103" s="445">
        <f t="shared" si="35"/>
        <v>0</v>
      </c>
      <c r="L103" s="445">
        <f>L104+L105</f>
        <v>0</v>
      </c>
      <c r="M103" s="445">
        <f t="shared" ref="M103:AJ103" si="36">SUM(M104:M105)</f>
        <v>0</v>
      </c>
      <c r="N103" s="445">
        <f t="shared" si="36"/>
        <v>0</v>
      </c>
      <c r="O103" s="445">
        <f t="shared" si="36"/>
        <v>0</v>
      </c>
      <c r="P103" s="445">
        <f t="shared" si="36"/>
        <v>0</v>
      </c>
      <c r="Q103" s="445">
        <f t="shared" si="36"/>
        <v>0</v>
      </c>
      <c r="R103" s="445">
        <f t="shared" si="36"/>
        <v>0</v>
      </c>
      <c r="S103" s="445">
        <f t="shared" si="36"/>
        <v>0</v>
      </c>
      <c r="T103" s="445">
        <f t="shared" si="36"/>
        <v>0</v>
      </c>
      <c r="U103" s="445">
        <f t="shared" si="36"/>
        <v>0</v>
      </c>
      <c r="V103" s="445">
        <f t="shared" si="36"/>
        <v>0</v>
      </c>
      <c r="W103" s="445">
        <f t="shared" si="36"/>
        <v>0</v>
      </c>
      <c r="X103" s="445">
        <f t="shared" si="36"/>
        <v>0</v>
      </c>
      <c r="Y103" s="445">
        <f t="shared" si="36"/>
        <v>0</v>
      </c>
      <c r="Z103" s="445">
        <f t="shared" si="36"/>
        <v>0</v>
      </c>
      <c r="AA103" s="445">
        <f t="shared" si="36"/>
        <v>0</v>
      </c>
      <c r="AB103" s="445">
        <f t="shared" si="36"/>
        <v>0</v>
      </c>
      <c r="AC103" s="445">
        <f t="shared" si="36"/>
        <v>0</v>
      </c>
      <c r="AD103" s="445">
        <f t="shared" si="36"/>
        <v>0</v>
      </c>
      <c r="AE103" s="445">
        <f t="shared" si="36"/>
        <v>0</v>
      </c>
      <c r="AF103" s="445">
        <f t="shared" si="36"/>
        <v>0</v>
      </c>
      <c r="AG103" s="445">
        <f t="shared" si="36"/>
        <v>0</v>
      </c>
      <c r="AH103" s="445">
        <f t="shared" si="36"/>
        <v>0</v>
      </c>
      <c r="AI103" s="445">
        <f t="shared" si="36"/>
        <v>0</v>
      </c>
      <c r="AJ103" s="445">
        <f t="shared" si="36"/>
        <v>0</v>
      </c>
      <c r="AK103" s="461">
        <f>SUM(F103:AJ103)</f>
        <v>0</v>
      </c>
      <c r="AL103" s="466"/>
      <c r="AM103" s="223"/>
    </row>
    <row r="104" spans="1:39" ht="14.25" customHeight="1">
      <c r="C104" s="988"/>
      <c r="D104" s="996"/>
      <c r="E104" s="446" t="s">
        <v>123</v>
      </c>
      <c r="F104" s="447">
        <v>0</v>
      </c>
      <c r="G104" s="447">
        <v>0</v>
      </c>
      <c r="H104" s="447">
        <v>0</v>
      </c>
      <c r="I104" s="447">
        <v>0</v>
      </c>
      <c r="J104" s="447">
        <v>0</v>
      </c>
      <c r="K104" s="447">
        <v>0</v>
      </c>
      <c r="L104" s="447">
        <v>0</v>
      </c>
      <c r="M104" s="447">
        <v>0</v>
      </c>
      <c r="N104" s="447">
        <v>0</v>
      </c>
      <c r="O104" s="447">
        <v>0</v>
      </c>
      <c r="P104" s="447">
        <v>0</v>
      </c>
      <c r="Q104" s="447">
        <v>0</v>
      </c>
      <c r="R104" s="447">
        <v>0</v>
      </c>
      <c r="S104" s="447">
        <v>0</v>
      </c>
      <c r="T104" s="447">
        <v>0</v>
      </c>
      <c r="U104" s="447">
        <v>0</v>
      </c>
      <c r="V104" s="447">
        <v>0</v>
      </c>
      <c r="W104" s="447">
        <v>0</v>
      </c>
      <c r="X104" s="447">
        <v>0</v>
      </c>
      <c r="Y104" s="447">
        <v>0</v>
      </c>
      <c r="Z104" s="447">
        <v>0</v>
      </c>
      <c r="AA104" s="447">
        <v>0</v>
      </c>
      <c r="AB104" s="447">
        <v>0</v>
      </c>
      <c r="AC104" s="447">
        <v>0</v>
      </c>
      <c r="AD104" s="447">
        <v>0</v>
      </c>
      <c r="AE104" s="447">
        <v>0</v>
      </c>
      <c r="AF104" s="447">
        <v>0</v>
      </c>
      <c r="AG104" s="447">
        <v>0</v>
      </c>
      <c r="AH104" s="447">
        <v>0</v>
      </c>
      <c r="AI104" s="447">
        <v>0</v>
      </c>
      <c r="AJ104" s="447">
        <v>0</v>
      </c>
      <c r="AK104" s="447">
        <v>0</v>
      </c>
      <c r="AL104" s="463">
        <f>HLOOKUP(LEFT(Summary!D3,2),Actual!F66:AJ156,57,FALSE)</f>
        <v>0</v>
      </c>
      <c r="AM104" s="223"/>
    </row>
    <row r="105" spans="1:39" ht="14.25" customHeight="1">
      <c r="C105" s="988"/>
      <c r="D105" s="996"/>
      <c r="E105" s="450" t="s">
        <v>26</v>
      </c>
      <c r="F105" s="451">
        <v>0</v>
      </c>
      <c r="G105" s="451">
        <v>0</v>
      </c>
      <c r="H105" s="451">
        <v>0</v>
      </c>
      <c r="I105" s="451">
        <v>0</v>
      </c>
      <c r="J105" s="451">
        <v>0</v>
      </c>
      <c r="K105" s="451">
        <v>0</v>
      </c>
      <c r="L105" s="451">
        <v>0</v>
      </c>
      <c r="M105" s="451">
        <v>0</v>
      </c>
      <c r="N105" s="451">
        <v>0</v>
      </c>
      <c r="O105" s="451">
        <v>0</v>
      </c>
      <c r="P105" s="451">
        <v>0</v>
      </c>
      <c r="Q105" s="451">
        <v>0</v>
      </c>
      <c r="R105" s="451">
        <v>0</v>
      </c>
      <c r="S105" s="451">
        <v>0</v>
      </c>
      <c r="T105" s="451">
        <v>0</v>
      </c>
      <c r="U105" s="451">
        <v>0</v>
      </c>
      <c r="V105" s="451">
        <v>0</v>
      </c>
      <c r="W105" s="451">
        <v>0</v>
      </c>
      <c r="X105" s="451">
        <v>0</v>
      </c>
      <c r="Y105" s="451">
        <v>0</v>
      </c>
      <c r="Z105" s="451">
        <v>0</v>
      </c>
      <c r="AA105" s="451">
        <v>0</v>
      </c>
      <c r="AB105" s="451">
        <v>0</v>
      </c>
      <c r="AC105" s="451">
        <v>0</v>
      </c>
      <c r="AD105" s="451">
        <v>0</v>
      </c>
      <c r="AE105" s="451">
        <v>0</v>
      </c>
      <c r="AF105" s="447">
        <v>0</v>
      </c>
      <c r="AG105" s="451">
        <v>0</v>
      </c>
      <c r="AH105" s="451">
        <v>0</v>
      </c>
      <c r="AI105" s="451">
        <v>0</v>
      </c>
      <c r="AJ105" s="451">
        <v>0</v>
      </c>
      <c r="AK105" s="451">
        <v>0</v>
      </c>
      <c r="AL105" s="466">
        <f>HLOOKUP(LEFT(Summary!D3,2),Actual!F66:AJ156,58,FALSE)</f>
        <v>0</v>
      </c>
      <c r="AM105" s="223"/>
    </row>
    <row r="106" spans="1:39" ht="14.25" customHeight="1">
      <c r="C106" s="988"/>
      <c r="D106" s="996"/>
      <c r="E106" s="361" t="s">
        <v>133</v>
      </c>
      <c r="F106" s="445">
        <f t="shared" ref="F106:AJ106" si="37">SUM(F107:F108)</f>
        <v>0</v>
      </c>
      <c r="G106" s="445">
        <f t="shared" si="37"/>
        <v>0</v>
      </c>
      <c r="H106" s="445">
        <f t="shared" si="37"/>
        <v>0</v>
      </c>
      <c r="I106" s="445">
        <f t="shared" si="37"/>
        <v>0</v>
      </c>
      <c r="J106" s="445">
        <f t="shared" si="37"/>
        <v>0</v>
      </c>
      <c r="K106" s="445">
        <f t="shared" si="37"/>
        <v>0</v>
      </c>
      <c r="L106" s="445">
        <f t="shared" si="37"/>
        <v>0</v>
      </c>
      <c r="M106" s="445">
        <f t="shared" si="37"/>
        <v>0</v>
      </c>
      <c r="N106" s="445">
        <f t="shared" si="37"/>
        <v>0</v>
      </c>
      <c r="O106" s="445">
        <f t="shared" si="37"/>
        <v>0</v>
      </c>
      <c r="P106" s="445">
        <f t="shared" si="37"/>
        <v>0</v>
      </c>
      <c r="Q106" s="445">
        <f t="shared" si="37"/>
        <v>0</v>
      </c>
      <c r="R106" s="445">
        <f t="shared" si="37"/>
        <v>0</v>
      </c>
      <c r="S106" s="445">
        <f t="shared" si="37"/>
        <v>0</v>
      </c>
      <c r="T106" s="445">
        <f t="shared" si="37"/>
        <v>0</v>
      </c>
      <c r="U106" s="445">
        <f t="shared" si="37"/>
        <v>0</v>
      </c>
      <c r="V106" s="445">
        <f t="shared" si="37"/>
        <v>0</v>
      </c>
      <c r="W106" s="445">
        <f t="shared" si="37"/>
        <v>0</v>
      </c>
      <c r="X106" s="445">
        <f t="shared" si="37"/>
        <v>0</v>
      </c>
      <c r="Y106" s="445">
        <f t="shared" si="37"/>
        <v>0</v>
      </c>
      <c r="Z106" s="445">
        <f t="shared" si="37"/>
        <v>0</v>
      </c>
      <c r="AA106" s="445">
        <f t="shared" si="37"/>
        <v>0</v>
      </c>
      <c r="AB106" s="445">
        <f t="shared" si="37"/>
        <v>0</v>
      </c>
      <c r="AC106" s="445">
        <f t="shared" si="37"/>
        <v>0</v>
      </c>
      <c r="AD106" s="445">
        <f t="shared" si="37"/>
        <v>0</v>
      </c>
      <c r="AE106" s="445">
        <f t="shared" si="37"/>
        <v>0</v>
      </c>
      <c r="AF106" s="445">
        <f t="shared" si="37"/>
        <v>0</v>
      </c>
      <c r="AG106" s="445">
        <f t="shared" si="37"/>
        <v>0</v>
      </c>
      <c r="AH106" s="445">
        <f t="shared" si="37"/>
        <v>0</v>
      </c>
      <c r="AI106" s="445">
        <f t="shared" si="37"/>
        <v>0</v>
      </c>
      <c r="AJ106" s="445">
        <f t="shared" si="37"/>
        <v>0</v>
      </c>
      <c r="AK106" s="461">
        <f>SUM(F106:AJ106)</f>
        <v>0</v>
      </c>
      <c r="AL106" s="462">
        <f>HLOOKUP(LEFT(Summary!D3,2),Actual!F66:AJ156,59,FALSE)</f>
        <v>0</v>
      </c>
      <c r="AM106" s="223"/>
    </row>
    <row r="107" spans="1:39" ht="14.25" customHeight="1">
      <c r="C107" s="988"/>
      <c r="D107" s="996"/>
      <c r="E107" s="446" t="s">
        <v>123</v>
      </c>
      <c r="F107" s="447">
        <v>0</v>
      </c>
      <c r="G107" s="447">
        <v>0</v>
      </c>
      <c r="H107" s="447">
        <v>0</v>
      </c>
      <c r="I107" s="447">
        <v>0</v>
      </c>
      <c r="J107" s="447">
        <v>0</v>
      </c>
      <c r="K107" s="447">
        <v>0</v>
      </c>
      <c r="L107" s="447">
        <v>0</v>
      </c>
      <c r="M107" s="447">
        <v>0</v>
      </c>
      <c r="N107" s="447">
        <v>0</v>
      </c>
      <c r="O107" s="447">
        <v>0</v>
      </c>
      <c r="P107" s="447">
        <v>0</v>
      </c>
      <c r="Q107" s="447">
        <v>0</v>
      </c>
      <c r="R107" s="447">
        <v>0</v>
      </c>
      <c r="S107" s="447">
        <v>0</v>
      </c>
      <c r="T107" s="447">
        <v>0</v>
      </c>
      <c r="U107" s="447">
        <v>0</v>
      </c>
      <c r="V107" s="447">
        <v>0</v>
      </c>
      <c r="W107" s="447">
        <v>0</v>
      </c>
      <c r="X107" s="447">
        <v>0</v>
      </c>
      <c r="Y107" s="447">
        <v>0</v>
      </c>
      <c r="Z107" s="447">
        <v>0</v>
      </c>
      <c r="AA107" s="447">
        <v>0</v>
      </c>
      <c r="AB107" s="447">
        <v>0</v>
      </c>
      <c r="AC107" s="447">
        <v>0</v>
      </c>
      <c r="AD107" s="447">
        <v>0</v>
      </c>
      <c r="AE107" s="447">
        <v>0</v>
      </c>
      <c r="AF107" s="447">
        <v>0</v>
      </c>
      <c r="AG107" s="447">
        <v>0</v>
      </c>
      <c r="AH107" s="447">
        <v>0</v>
      </c>
      <c r="AI107" s="447">
        <v>0</v>
      </c>
      <c r="AJ107" s="447">
        <v>0</v>
      </c>
      <c r="AK107" s="447">
        <v>0</v>
      </c>
      <c r="AL107" s="463">
        <f>HLOOKUP(LEFT(Summary!D3,2),Actual!F66:AJ156,60,FALSE)</f>
        <v>0</v>
      </c>
      <c r="AM107" s="223"/>
    </row>
    <row r="108" spans="1:39" ht="14.25" customHeight="1">
      <c r="C108" s="988"/>
      <c r="D108" s="996"/>
      <c r="E108" s="452" t="s">
        <v>26</v>
      </c>
      <c r="F108" s="448">
        <v>0</v>
      </c>
      <c r="G108" s="448">
        <v>0</v>
      </c>
      <c r="H108" s="447">
        <v>0</v>
      </c>
      <c r="I108" s="448">
        <v>0</v>
      </c>
      <c r="J108" s="448">
        <v>0</v>
      </c>
      <c r="K108" s="448">
        <v>0</v>
      </c>
      <c r="L108" s="448">
        <v>0</v>
      </c>
      <c r="M108" s="448">
        <v>0</v>
      </c>
      <c r="N108" s="448">
        <v>0</v>
      </c>
      <c r="O108" s="448">
        <v>0</v>
      </c>
      <c r="P108" s="448">
        <v>0</v>
      </c>
      <c r="Q108" s="448">
        <v>0</v>
      </c>
      <c r="R108" s="448">
        <v>0</v>
      </c>
      <c r="S108" s="448">
        <v>0</v>
      </c>
      <c r="T108" s="448">
        <v>0</v>
      </c>
      <c r="U108" s="448">
        <v>0</v>
      </c>
      <c r="V108" s="448">
        <v>0</v>
      </c>
      <c r="W108" s="448">
        <v>0</v>
      </c>
      <c r="X108" s="448">
        <v>0</v>
      </c>
      <c r="Y108" s="448">
        <v>0</v>
      </c>
      <c r="Z108" s="448">
        <v>0</v>
      </c>
      <c r="AA108" s="448">
        <v>0</v>
      </c>
      <c r="AB108" s="448">
        <v>0</v>
      </c>
      <c r="AC108" s="448">
        <v>0</v>
      </c>
      <c r="AD108" s="448">
        <v>0</v>
      </c>
      <c r="AE108" s="448">
        <v>0</v>
      </c>
      <c r="AF108" s="448">
        <v>0</v>
      </c>
      <c r="AG108" s="448">
        <v>0</v>
      </c>
      <c r="AH108" s="448">
        <v>0</v>
      </c>
      <c r="AI108" s="448">
        <v>0</v>
      </c>
      <c r="AJ108" s="448">
        <v>0</v>
      </c>
      <c r="AK108" s="448">
        <v>0</v>
      </c>
      <c r="AL108" s="467">
        <f>HLOOKUP(LEFT(Summary!D3,2),Actual!F66:AJ156,61,FALSE)</f>
        <v>0</v>
      </c>
      <c r="AM108" s="223"/>
    </row>
    <row r="109" spans="1:39" ht="14.25" customHeight="1">
      <c r="C109" s="988"/>
      <c r="D109" s="996"/>
      <c r="E109" s="378" t="s">
        <v>134</v>
      </c>
      <c r="F109" s="445">
        <f t="shared" ref="F109:K109" si="38">SUM(F110:F111)</f>
        <v>0</v>
      </c>
      <c r="G109" s="445">
        <f t="shared" si="38"/>
        <v>0</v>
      </c>
      <c r="H109" s="445">
        <f t="shared" si="38"/>
        <v>0</v>
      </c>
      <c r="I109" s="445">
        <f t="shared" si="38"/>
        <v>0</v>
      </c>
      <c r="J109" s="445">
        <f t="shared" si="38"/>
        <v>0</v>
      </c>
      <c r="K109" s="445">
        <f t="shared" si="38"/>
        <v>0</v>
      </c>
      <c r="L109" s="445">
        <f>L110+L111</f>
        <v>0</v>
      </c>
      <c r="M109" s="445">
        <f t="shared" ref="M109:AJ109" si="39">SUM(M110:M111)</f>
        <v>0</v>
      </c>
      <c r="N109" s="445">
        <f t="shared" si="39"/>
        <v>0</v>
      </c>
      <c r="O109" s="445">
        <f t="shared" si="39"/>
        <v>0</v>
      </c>
      <c r="P109" s="445">
        <f t="shared" si="39"/>
        <v>0</v>
      </c>
      <c r="Q109" s="445">
        <f t="shared" si="39"/>
        <v>0</v>
      </c>
      <c r="R109" s="445">
        <f t="shared" si="39"/>
        <v>0</v>
      </c>
      <c r="S109" s="445">
        <f t="shared" si="39"/>
        <v>0</v>
      </c>
      <c r="T109" s="445">
        <f t="shared" si="39"/>
        <v>0</v>
      </c>
      <c r="U109" s="445">
        <f t="shared" si="39"/>
        <v>0</v>
      </c>
      <c r="V109" s="445">
        <f t="shared" si="39"/>
        <v>0</v>
      </c>
      <c r="W109" s="445">
        <f t="shared" si="39"/>
        <v>0</v>
      </c>
      <c r="X109" s="445">
        <f t="shared" si="39"/>
        <v>0</v>
      </c>
      <c r="Y109" s="445">
        <f t="shared" si="39"/>
        <v>0</v>
      </c>
      <c r="Z109" s="445">
        <f t="shared" si="39"/>
        <v>0</v>
      </c>
      <c r="AA109" s="445">
        <f t="shared" si="39"/>
        <v>0</v>
      </c>
      <c r="AB109" s="445">
        <f t="shared" si="39"/>
        <v>0</v>
      </c>
      <c r="AC109" s="445">
        <f t="shared" si="39"/>
        <v>0</v>
      </c>
      <c r="AD109" s="445">
        <f t="shared" si="39"/>
        <v>0</v>
      </c>
      <c r="AE109" s="445">
        <f t="shared" si="39"/>
        <v>0</v>
      </c>
      <c r="AF109" s="445">
        <f t="shared" si="39"/>
        <v>0</v>
      </c>
      <c r="AG109" s="445">
        <f t="shared" si="39"/>
        <v>0</v>
      </c>
      <c r="AH109" s="445">
        <f t="shared" si="39"/>
        <v>0</v>
      </c>
      <c r="AI109" s="445">
        <f t="shared" si="39"/>
        <v>0</v>
      </c>
      <c r="AJ109" s="445">
        <f t="shared" si="39"/>
        <v>0</v>
      </c>
      <c r="AK109" s="461">
        <f>SUM(F109:AJ109)</f>
        <v>0</v>
      </c>
      <c r="AL109" s="462">
        <f>HLOOKUP(LEFT(Summary!D3,2),Actual!F66:AJ156,62,FALSE)</f>
        <v>0</v>
      </c>
      <c r="AM109" s="223"/>
    </row>
    <row r="110" spans="1:39" ht="14.25" customHeight="1">
      <c r="C110" s="988"/>
      <c r="D110" s="996"/>
      <c r="E110" s="446" t="s">
        <v>123</v>
      </c>
      <c r="F110" s="455">
        <v>0</v>
      </c>
      <c r="G110" s="455">
        <v>0</v>
      </c>
      <c r="H110" s="455">
        <v>0</v>
      </c>
      <c r="I110" s="455">
        <v>0</v>
      </c>
      <c r="J110" s="455">
        <v>0</v>
      </c>
      <c r="K110" s="455">
        <v>0</v>
      </c>
      <c r="L110" s="455">
        <v>0</v>
      </c>
      <c r="M110" s="455">
        <v>0</v>
      </c>
      <c r="N110" s="455">
        <v>0</v>
      </c>
      <c r="O110" s="455">
        <v>0</v>
      </c>
      <c r="P110" s="455">
        <v>0</v>
      </c>
      <c r="Q110" s="455">
        <v>0</v>
      </c>
      <c r="R110" s="455">
        <v>0</v>
      </c>
      <c r="S110" s="455">
        <v>0</v>
      </c>
      <c r="T110" s="455">
        <v>0</v>
      </c>
      <c r="U110" s="455">
        <v>0</v>
      </c>
      <c r="V110" s="455">
        <v>0</v>
      </c>
      <c r="W110" s="455">
        <v>0</v>
      </c>
      <c r="X110" s="455">
        <v>0</v>
      </c>
      <c r="Y110" s="455">
        <v>0</v>
      </c>
      <c r="Z110" s="455">
        <v>0</v>
      </c>
      <c r="AA110" s="455">
        <v>0</v>
      </c>
      <c r="AB110" s="455">
        <v>0</v>
      </c>
      <c r="AC110" s="455">
        <v>0</v>
      </c>
      <c r="AD110" s="455">
        <v>0</v>
      </c>
      <c r="AE110" s="455">
        <v>0</v>
      </c>
      <c r="AF110" s="455">
        <v>0</v>
      </c>
      <c r="AG110" s="455">
        <v>0</v>
      </c>
      <c r="AH110" s="455">
        <v>0</v>
      </c>
      <c r="AI110" s="455">
        <v>0</v>
      </c>
      <c r="AJ110" s="455">
        <v>0</v>
      </c>
      <c r="AK110" s="447">
        <v>0</v>
      </c>
      <c r="AL110" s="463">
        <f>HLOOKUP(LEFT(Summary!D3,2),Actual!F66:AJ156,63,FALSE)</f>
        <v>0</v>
      </c>
      <c r="AM110" s="223"/>
    </row>
    <row r="111" spans="1:39" ht="14.25" customHeight="1">
      <c r="C111" s="988"/>
      <c r="D111" s="996"/>
      <c r="E111" s="452" t="s">
        <v>26</v>
      </c>
      <c r="F111" s="448">
        <v>0</v>
      </c>
      <c r="G111" s="448">
        <v>0</v>
      </c>
      <c r="H111" s="448">
        <v>0</v>
      </c>
      <c r="I111" s="448">
        <v>0</v>
      </c>
      <c r="J111" s="448">
        <v>0</v>
      </c>
      <c r="K111" s="448">
        <v>0</v>
      </c>
      <c r="L111" s="448">
        <v>0</v>
      </c>
      <c r="M111" s="448">
        <v>0</v>
      </c>
      <c r="N111" s="448">
        <v>0</v>
      </c>
      <c r="O111" s="448">
        <v>0</v>
      </c>
      <c r="P111" s="448">
        <v>0</v>
      </c>
      <c r="Q111" s="448">
        <v>0</v>
      </c>
      <c r="R111" s="448">
        <v>0</v>
      </c>
      <c r="S111" s="448">
        <v>0</v>
      </c>
      <c r="T111" s="448">
        <v>0</v>
      </c>
      <c r="U111" s="448">
        <v>0</v>
      </c>
      <c r="V111" s="448">
        <v>0</v>
      </c>
      <c r="W111" s="448">
        <v>0</v>
      </c>
      <c r="X111" s="448">
        <v>0</v>
      </c>
      <c r="Y111" s="448">
        <v>0</v>
      </c>
      <c r="Z111" s="448">
        <v>0</v>
      </c>
      <c r="AA111" s="448">
        <v>0</v>
      </c>
      <c r="AB111" s="448">
        <v>0</v>
      </c>
      <c r="AC111" s="448">
        <v>0</v>
      </c>
      <c r="AD111" s="448">
        <v>0</v>
      </c>
      <c r="AE111" s="448">
        <v>0</v>
      </c>
      <c r="AF111" s="448">
        <v>0</v>
      </c>
      <c r="AG111" s="455">
        <v>0</v>
      </c>
      <c r="AH111" s="448">
        <v>0</v>
      </c>
      <c r="AI111" s="448">
        <v>0</v>
      </c>
      <c r="AJ111" s="448">
        <v>0</v>
      </c>
      <c r="AK111" s="448">
        <v>0</v>
      </c>
      <c r="AL111" s="467">
        <f>HLOOKUP(LEFT(Summary!D3,2),Actual!F66:AJ156,64,FALSE)</f>
        <v>0</v>
      </c>
      <c r="AM111" s="223"/>
    </row>
    <row r="112" spans="1:39" ht="14.25" customHeight="1">
      <c r="C112" s="988"/>
      <c r="D112" s="996"/>
      <c r="E112" s="361" t="s">
        <v>135</v>
      </c>
      <c r="F112" s="449">
        <f t="shared" ref="F112:K112" si="40">SUM(F113:F114)</f>
        <v>0</v>
      </c>
      <c r="G112" s="449">
        <f t="shared" si="40"/>
        <v>0</v>
      </c>
      <c r="H112" s="449">
        <f t="shared" si="40"/>
        <v>0</v>
      </c>
      <c r="I112" s="449">
        <f t="shared" si="40"/>
        <v>0</v>
      </c>
      <c r="J112" s="449">
        <f t="shared" si="40"/>
        <v>0</v>
      </c>
      <c r="K112" s="449">
        <f t="shared" si="40"/>
        <v>0</v>
      </c>
      <c r="L112" s="449">
        <f>L113+L114</f>
        <v>0</v>
      </c>
      <c r="M112" s="449">
        <f t="shared" ref="M112:AJ112" si="41">SUM(M113:M114)</f>
        <v>0</v>
      </c>
      <c r="N112" s="449">
        <f t="shared" si="41"/>
        <v>0</v>
      </c>
      <c r="O112" s="449">
        <f t="shared" si="41"/>
        <v>0</v>
      </c>
      <c r="P112" s="449">
        <f t="shared" si="41"/>
        <v>0</v>
      </c>
      <c r="Q112" s="449">
        <f t="shared" si="41"/>
        <v>0</v>
      </c>
      <c r="R112" s="449">
        <f t="shared" si="41"/>
        <v>0</v>
      </c>
      <c r="S112" s="449">
        <f t="shared" si="41"/>
        <v>0</v>
      </c>
      <c r="T112" s="449">
        <f t="shared" si="41"/>
        <v>0</v>
      </c>
      <c r="U112" s="449">
        <f t="shared" si="41"/>
        <v>0</v>
      </c>
      <c r="V112" s="449">
        <f t="shared" si="41"/>
        <v>0</v>
      </c>
      <c r="W112" s="445">
        <f t="shared" si="41"/>
        <v>0</v>
      </c>
      <c r="X112" s="445">
        <f t="shared" si="41"/>
        <v>0</v>
      </c>
      <c r="Y112" s="445">
        <f t="shared" si="41"/>
        <v>0</v>
      </c>
      <c r="Z112" s="445">
        <f t="shared" si="41"/>
        <v>0</v>
      </c>
      <c r="AA112" s="445">
        <f t="shared" si="41"/>
        <v>0</v>
      </c>
      <c r="AB112" s="445">
        <f t="shared" si="41"/>
        <v>0</v>
      </c>
      <c r="AC112" s="445">
        <f t="shared" si="41"/>
        <v>0</v>
      </c>
      <c r="AD112" s="445">
        <f t="shared" si="41"/>
        <v>0</v>
      </c>
      <c r="AE112" s="445">
        <f t="shared" si="41"/>
        <v>0</v>
      </c>
      <c r="AF112" s="445">
        <f t="shared" si="41"/>
        <v>0</v>
      </c>
      <c r="AG112" s="445">
        <f t="shared" si="41"/>
        <v>0</v>
      </c>
      <c r="AH112" s="445">
        <f t="shared" si="41"/>
        <v>0</v>
      </c>
      <c r="AI112" s="445">
        <f t="shared" si="41"/>
        <v>0</v>
      </c>
      <c r="AJ112" s="445">
        <f t="shared" si="41"/>
        <v>0</v>
      </c>
      <c r="AK112" s="464">
        <f>SUM(F112:AJ112)</f>
        <v>0</v>
      </c>
      <c r="AL112" s="465">
        <f>HLOOKUP(LEFT(Summary!D3,2),Actual!F66:AJ156,65,FALSE)</f>
        <v>0</v>
      </c>
      <c r="AM112" s="223"/>
    </row>
    <row r="113" spans="2:39" ht="14.25" customHeight="1">
      <c r="B113" s="221"/>
      <c r="C113" s="988"/>
      <c r="D113" s="996"/>
      <c r="E113" s="446" t="s">
        <v>123</v>
      </c>
      <c r="F113" s="447">
        <v>0</v>
      </c>
      <c r="G113" s="447">
        <v>0</v>
      </c>
      <c r="H113" s="447">
        <v>0</v>
      </c>
      <c r="I113" s="447">
        <v>0</v>
      </c>
      <c r="J113" s="447">
        <v>0</v>
      </c>
      <c r="K113" s="447">
        <v>0</v>
      </c>
      <c r="L113" s="447">
        <v>0</v>
      </c>
      <c r="M113" s="447">
        <v>0</v>
      </c>
      <c r="N113" s="447">
        <v>0</v>
      </c>
      <c r="O113" s="447">
        <v>0</v>
      </c>
      <c r="P113" s="447">
        <v>0</v>
      </c>
      <c r="Q113" s="447">
        <v>0</v>
      </c>
      <c r="R113" s="447">
        <v>0</v>
      </c>
      <c r="S113" s="447">
        <v>0</v>
      </c>
      <c r="T113" s="447">
        <v>0</v>
      </c>
      <c r="U113" s="447">
        <v>0</v>
      </c>
      <c r="V113" s="447">
        <v>0</v>
      </c>
      <c r="W113" s="447">
        <v>0</v>
      </c>
      <c r="X113" s="447">
        <v>0</v>
      </c>
      <c r="Y113" s="447">
        <v>0</v>
      </c>
      <c r="Z113" s="447">
        <v>0</v>
      </c>
      <c r="AA113" s="447">
        <v>0</v>
      </c>
      <c r="AB113" s="447">
        <v>0</v>
      </c>
      <c r="AC113" s="447">
        <v>0</v>
      </c>
      <c r="AD113" s="447">
        <v>0</v>
      </c>
      <c r="AE113" s="447">
        <v>0</v>
      </c>
      <c r="AF113" s="447">
        <v>0</v>
      </c>
      <c r="AG113" s="447">
        <v>0</v>
      </c>
      <c r="AH113" s="447">
        <v>0</v>
      </c>
      <c r="AI113" s="447">
        <v>0</v>
      </c>
      <c r="AJ113" s="447">
        <v>0</v>
      </c>
      <c r="AK113" s="447">
        <v>0</v>
      </c>
      <c r="AL113" s="463">
        <f>HLOOKUP(LEFT(Summary!D3,2),Actual!F66:AJ156,66,FALSE)</f>
        <v>0</v>
      </c>
      <c r="AM113" s="223"/>
    </row>
    <row r="114" spans="2:39" ht="14.25" customHeight="1">
      <c r="C114" s="988"/>
      <c r="D114" s="996"/>
      <c r="E114" s="452" t="s">
        <v>26</v>
      </c>
      <c r="F114" s="448">
        <v>0</v>
      </c>
      <c r="G114" s="448">
        <v>0</v>
      </c>
      <c r="H114" s="448">
        <v>0</v>
      </c>
      <c r="I114" s="448">
        <v>0</v>
      </c>
      <c r="J114" s="448">
        <v>0</v>
      </c>
      <c r="K114" s="448">
        <v>0</v>
      </c>
      <c r="L114" s="448">
        <v>0</v>
      </c>
      <c r="M114" s="448">
        <v>0</v>
      </c>
      <c r="N114" s="448">
        <v>0</v>
      </c>
      <c r="O114" s="448">
        <v>0</v>
      </c>
      <c r="P114" s="448">
        <v>0</v>
      </c>
      <c r="Q114" s="448">
        <v>0</v>
      </c>
      <c r="R114" s="448">
        <v>0</v>
      </c>
      <c r="S114" s="448">
        <v>0</v>
      </c>
      <c r="T114" s="448">
        <v>0</v>
      </c>
      <c r="U114" s="448">
        <v>0</v>
      </c>
      <c r="V114" s="448">
        <v>0</v>
      </c>
      <c r="W114" s="448">
        <v>0</v>
      </c>
      <c r="X114" s="448">
        <v>0</v>
      </c>
      <c r="Y114" s="448">
        <v>0</v>
      </c>
      <c r="Z114" s="448">
        <v>0</v>
      </c>
      <c r="AA114" s="448">
        <v>0</v>
      </c>
      <c r="AB114" s="448">
        <v>0</v>
      </c>
      <c r="AC114" s="448">
        <v>0</v>
      </c>
      <c r="AD114" s="448">
        <v>0</v>
      </c>
      <c r="AE114" s="448">
        <v>0</v>
      </c>
      <c r="AF114" s="448">
        <v>0</v>
      </c>
      <c r="AG114" s="448">
        <v>0</v>
      </c>
      <c r="AH114" s="448">
        <v>0</v>
      </c>
      <c r="AI114" s="448">
        <v>0</v>
      </c>
      <c r="AJ114" s="448">
        <v>0</v>
      </c>
      <c r="AK114" s="451">
        <v>0</v>
      </c>
      <c r="AL114" s="466">
        <f>HLOOKUP(LEFT(Summary!D3,2),Actual!F66:AJ156,67,FALSE)</f>
        <v>0</v>
      </c>
      <c r="AM114" s="223"/>
    </row>
    <row r="115" spans="2:39" ht="14.25" customHeight="1">
      <c r="C115" s="988"/>
      <c r="D115" s="996"/>
      <c r="E115" s="361" t="s">
        <v>136</v>
      </c>
      <c r="F115" s="449">
        <f t="shared" ref="F115:K115" si="42">SUM(F116:F117)</f>
        <v>0</v>
      </c>
      <c r="G115" s="449">
        <f t="shared" si="42"/>
        <v>0</v>
      </c>
      <c r="H115" s="449">
        <f t="shared" si="42"/>
        <v>0</v>
      </c>
      <c r="I115" s="449">
        <f t="shared" si="42"/>
        <v>0</v>
      </c>
      <c r="J115" s="449">
        <f t="shared" si="42"/>
        <v>0</v>
      </c>
      <c r="K115" s="449">
        <f t="shared" si="42"/>
        <v>0</v>
      </c>
      <c r="L115" s="449">
        <f>L116+L117</f>
        <v>0</v>
      </c>
      <c r="M115" s="449">
        <f t="shared" ref="M115:AJ115" si="43">SUM(M116:M117)</f>
        <v>0</v>
      </c>
      <c r="N115" s="449">
        <f t="shared" si="43"/>
        <v>0</v>
      </c>
      <c r="O115" s="449">
        <f t="shared" si="43"/>
        <v>0</v>
      </c>
      <c r="P115" s="449">
        <f t="shared" si="43"/>
        <v>0</v>
      </c>
      <c r="Q115" s="449">
        <f t="shared" si="43"/>
        <v>0</v>
      </c>
      <c r="R115" s="449">
        <f t="shared" si="43"/>
        <v>0</v>
      </c>
      <c r="S115" s="449">
        <f t="shared" si="43"/>
        <v>0</v>
      </c>
      <c r="T115" s="449">
        <f t="shared" si="43"/>
        <v>0</v>
      </c>
      <c r="U115" s="449">
        <f t="shared" si="43"/>
        <v>0</v>
      </c>
      <c r="V115" s="449">
        <f t="shared" si="43"/>
        <v>0</v>
      </c>
      <c r="W115" s="449">
        <f t="shared" si="43"/>
        <v>0</v>
      </c>
      <c r="X115" s="449">
        <f t="shared" si="43"/>
        <v>0</v>
      </c>
      <c r="Y115" s="449">
        <f t="shared" si="43"/>
        <v>0</v>
      </c>
      <c r="Z115" s="449">
        <f t="shared" si="43"/>
        <v>0</v>
      </c>
      <c r="AA115" s="449">
        <f t="shared" si="43"/>
        <v>0</v>
      </c>
      <c r="AB115" s="449">
        <f t="shared" si="43"/>
        <v>0</v>
      </c>
      <c r="AC115" s="449">
        <f t="shared" si="43"/>
        <v>0</v>
      </c>
      <c r="AD115" s="449">
        <f t="shared" si="43"/>
        <v>0</v>
      </c>
      <c r="AE115" s="449">
        <f t="shared" si="43"/>
        <v>0</v>
      </c>
      <c r="AF115" s="449">
        <f t="shared" si="43"/>
        <v>0</v>
      </c>
      <c r="AG115" s="449">
        <f t="shared" si="43"/>
        <v>0</v>
      </c>
      <c r="AH115" s="449">
        <f t="shared" si="43"/>
        <v>0</v>
      </c>
      <c r="AI115" s="449">
        <f t="shared" si="43"/>
        <v>0</v>
      </c>
      <c r="AJ115" s="445">
        <f t="shared" si="43"/>
        <v>0</v>
      </c>
      <c r="AK115" s="461">
        <f>SUM(F115:AJ115)</f>
        <v>0</v>
      </c>
      <c r="AL115" s="468" t="e">
        <f>HLOOKUP(LEFT(Summary!D6,2),Actual!F69:AJ159,65,FALSE)</f>
        <v>#N/A</v>
      </c>
      <c r="AM115" s="223"/>
    </row>
    <row r="116" spans="2:39" ht="14.25" customHeight="1">
      <c r="C116" s="988"/>
      <c r="D116" s="996"/>
      <c r="E116" s="446" t="s">
        <v>123</v>
      </c>
      <c r="F116" s="447">
        <v>0</v>
      </c>
      <c r="G116" s="447">
        <v>0</v>
      </c>
      <c r="H116" s="447">
        <v>0</v>
      </c>
      <c r="I116" s="447">
        <v>0</v>
      </c>
      <c r="J116" s="447">
        <v>0</v>
      </c>
      <c r="K116" s="447">
        <v>0</v>
      </c>
      <c r="L116" s="447">
        <v>0</v>
      </c>
      <c r="M116" s="447">
        <v>0</v>
      </c>
      <c r="N116" s="447">
        <v>0</v>
      </c>
      <c r="O116" s="447">
        <v>0</v>
      </c>
      <c r="P116" s="447">
        <v>0</v>
      </c>
      <c r="Q116" s="447">
        <v>0</v>
      </c>
      <c r="R116" s="447">
        <v>0</v>
      </c>
      <c r="S116" s="447">
        <v>0</v>
      </c>
      <c r="T116" s="447">
        <v>0</v>
      </c>
      <c r="U116" s="447">
        <v>0</v>
      </c>
      <c r="V116" s="447">
        <v>0</v>
      </c>
      <c r="W116" s="447">
        <v>0</v>
      </c>
      <c r="X116" s="447">
        <v>0</v>
      </c>
      <c r="Y116" s="447">
        <v>0</v>
      </c>
      <c r="Z116" s="447">
        <v>0</v>
      </c>
      <c r="AA116" s="447">
        <v>0</v>
      </c>
      <c r="AB116" s="447">
        <v>0</v>
      </c>
      <c r="AC116" s="447">
        <v>0</v>
      </c>
      <c r="AD116" s="447">
        <v>0</v>
      </c>
      <c r="AE116" s="447">
        <v>0</v>
      </c>
      <c r="AF116" s="447">
        <v>0</v>
      </c>
      <c r="AG116" s="447">
        <v>0</v>
      </c>
      <c r="AH116" s="447">
        <v>0</v>
      </c>
      <c r="AI116" s="447">
        <v>0</v>
      </c>
      <c r="AJ116" s="447">
        <v>0</v>
      </c>
      <c r="AK116" s="447">
        <v>0</v>
      </c>
      <c r="AL116" s="469" t="e">
        <f>HLOOKUP(LEFT(Summary!D6,2),Actual!F69:AJ159,66,FALSE)</f>
        <v>#N/A</v>
      </c>
      <c r="AM116" s="223"/>
    </row>
    <row r="117" spans="2:39" ht="14.25" customHeight="1">
      <c r="C117" s="988"/>
      <c r="D117" s="996"/>
      <c r="E117" s="452" t="s">
        <v>26</v>
      </c>
      <c r="F117" s="448">
        <v>0</v>
      </c>
      <c r="G117" s="448">
        <v>0</v>
      </c>
      <c r="H117" s="447">
        <v>0</v>
      </c>
      <c r="I117" s="448">
        <v>0</v>
      </c>
      <c r="J117" s="447">
        <v>0</v>
      </c>
      <c r="K117" s="448">
        <v>0</v>
      </c>
      <c r="L117" s="447">
        <v>0</v>
      </c>
      <c r="M117" s="448">
        <v>0</v>
      </c>
      <c r="N117" s="447">
        <v>0</v>
      </c>
      <c r="O117" s="448">
        <v>0</v>
      </c>
      <c r="P117" s="447">
        <v>0</v>
      </c>
      <c r="Q117" s="448">
        <v>0</v>
      </c>
      <c r="R117" s="447">
        <v>0</v>
      </c>
      <c r="S117" s="448">
        <v>0</v>
      </c>
      <c r="T117" s="447">
        <v>0</v>
      </c>
      <c r="U117" s="448">
        <v>0</v>
      </c>
      <c r="V117" s="447">
        <v>0</v>
      </c>
      <c r="W117" s="448">
        <v>0</v>
      </c>
      <c r="X117" s="447">
        <v>0</v>
      </c>
      <c r="Y117" s="448">
        <v>0</v>
      </c>
      <c r="Z117" s="448">
        <v>0</v>
      </c>
      <c r="AA117" s="448">
        <v>0</v>
      </c>
      <c r="AB117" s="448">
        <v>0</v>
      </c>
      <c r="AC117" s="448">
        <v>0</v>
      </c>
      <c r="AD117" s="448">
        <v>0</v>
      </c>
      <c r="AE117" s="448">
        <v>0</v>
      </c>
      <c r="AF117" s="448">
        <v>0</v>
      </c>
      <c r="AG117" s="448">
        <v>0</v>
      </c>
      <c r="AH117" s="448">
        <v>0</v>
      </c>
      <c r="AI117" s="448">
        <v>0</v>
      </c>
      <c r="AJ117" s="448">
        <v>0</v>
      </c>
      <c r="AK117" s="448">
        <v>0</v>
      </c>
      <c r="AL117" s="474" t="e">
        <f>HLOOKUP(LEFT(Summary!D6,2),Actual!F69:AJ159,67,FALSE)</f>
        <v>#N/A</v>
      </c>
      <c r="AM117" s="223"/>
    </row>
    <row r="118" spans="2:39" ht="14.25" customHeight="1">
      <c r="C118" s="988"/>
      <c r="D118" s="996"/>
      <c r="E118" s="378" t="s">
        <v>137</v>
      </c>
      <c r="F118" s="449">
        <f t="shared" ref="F118:AJ118" si="44">SUM(F119:F120)</f>
        <v>0</v>
      </c>
      <c r="G118" s="449">
        <f t="shared" si="44"/>
        <v>0</v>
      </c>
      <c r="H118" s="449">
        <f t="shared" si="44"/>
        <v>0</v>
      </c>
      <c r="I118" s="449">
        <f t="shared" si="44"/>
        <v>0</v>
      </c>
      <c r="J118" s="449">
        <f t="shared" si="44"/>
        <v>0</v>
      </c>
      <c r="K118" s="449">
        <f t="shared" si="44"/>
        <v>0</v>
      </c>
      <c r="L118" s="449">
        <f t="shared" si="44"/>
        <v>0</v>
      </c>
      <c r="M118" s="449">
        <f t="shared" si="44"/>
        <v>0</v>
      </c>
      <c r="N118" s="449">
        <f t="shared" si="44"/>
        <v>0</v>
      </c>
      <c r="O118" s="449">
        <f t="shared" si="44"/>
        <v>0</v>
      </c>
      <c r="P118" s="449">
        <f t="shared" si="44"/>
        <v>0</v>
      </c>
      <c r="Q118" s="449">
        <f t="shared" si="44"/>
        <v>0</v>
      </c>
      <c r="R118" s="449">
        <f t="shared" si="44"/>
        <v>0</v>
      </c>
      <c r="S118" s="449">
        <f t="shared" si="44"/>
        <v>0</v>
      </c>
      <c r="T118" s="449">
        <f t="shared" si="44"/>
        <v>0</v>
      </c>
      <c r="U118" s="449">
        <f t="shared" si="44"/>
        <v>0</v>
      </c>
      <c r="V118" s="449">
        <f t="shared" si="44"/>
        <v>0</v>
      </c>
      <c r="W118" s="449">
        <f t="shared" si="44"/>
        <v>0</v>
      </c>
      <c r="X118" s="449">
        <f t="shared" si="44"/>
        <v>0</v>
      </c>
      <c r="Y118" s="449">
        <f t="shared" si="44"/>
        <v>0</v>
      </c>
      <c r="Z118" s="449">
        <f t="shared" si="44"/>
        <v>0</v>
      </c>
      <c r="AA118" s="449">
        <f t="shared" si="44"/>
        <v>0</v>
      </c>
      <c r="AB118" s="449">
        <f t="shared" si="44"/>
        <v>0</v>
      </c>
      <c r="AC118" s="449">
        <f t="shared" si="44"/>
        <v>0</v>
      </c>
      <c r="AD118" s="449">
        <f t="shared" si="44"/>
        <v>0</v>
      </c>
      <c r="AE118" s="449">
        <f t="shared" si="44"/>
        <v>0</v>
      </c>
      <c r="AF118" s="449">
        <f t="shared" si="44"/>
        <v>0</v>
      </c>
      <c r="AG118" s="449">
        <f t="shared" si="44"/>
        <v>0</v>
      </c>
      <c r="AH118" s="449">
        <f t="shared" si="44"/>
        <v>0</v>
      </c>
      <c r="AI118" s="449">
        <f t="shared" si="44"/>
        <v>0</v>
      </c>
      <c r="AJ118" s="449">
        <f t="shared" si="44"/>
        <v>0</v>
      </c>
      <c r="AK118" s="464">
        <f>SUM(F118:AJ118)</f>
        <v>0</v>
      </c>
      <c r="AL118" s="475">
        <f>HLOOKUP(LEFT(Summary!D3,2),Actual!F66:AJ156,68,FALSE)</f>
        <v>0</v>
      </c>
      <c r="AM118" s="223"/>
    </row>
    <row r="119" spans="2:39" ht="14.25" customHeight="1">
      <c r="C119" s="988"/>
      <c r="D119" s="996"/>
      <c r="E119" s="446" t="s">
        <v>123</v>
      </c>
      <c r="F119" s="447">
        <v>0</v>
      </c>
      <c r="G119" s="447">
        <v>0</v>
      </c>
      <c r="H119" s="447">
        <v>0</v>
      </c>
      <c r="I119" s="447">
        <v>0</v>
      </c>
      <c r="J119" s="447">
        <v>0</v>
      </c>
      <c r="K119" s="447">
        <v>0</v>
      </c>
      <c r="L119" s="447">
        <v>0</v>
      </c>
      <c r="M119" s="447">
        <v>0</v>
      </c>
      <c r="N119" s="447">
        <v>0</v>
      </c>
      <c r="O119" s="447">
        <v>0</v>
      </c>
      <c r="P119" s="447">
        <v>0</v>
      </c>
      <c r="Q119" s="447">
        <v>0</v>
      </c>
      <c r="R119" s="447">
        <v>0</v>
      </c>
      <c r="S119" s="447">
        <v>0</v>
      </c>
      <c r="T119" s="447">
        <v>0</v>
      </c>
      <c r="U119" s="447">
        <v>0</v>
      </c>
      <c r="V119" s="447">
        <v>0</v>
      </c>
      <c r="W119" s="447">
        <v>0</v>
      </c>
      <c r="X119" s="447">
        <v>0</v>
      </c>
      <c r="Y119" s="447">
        <v>0</v>
      </c>
      <c r="Z119" s="447">
        <v>0</v>
      </c>
      <c r="AA119" s="447">
        <v>0</v>
      </c>
      <c r="AB119" s="447">
        <v>0</v>
      </c>
      <c r="AC119" s="447">
        <v>0</v>
      </c>
      <c r="AD119" s="447">
        <v>0</v>
      </c>
      <c r="AE119" s="447">
        <v>0</v>
      </c>
      <c r="AF119" s="447">
        <v>0</v>
      </c>
      <c r="AG119" s="447">
        <v>0</v>
      </c>
      <c r="AH119" s="447">
        <v>0</v>
      </c>
      <c r="AI119" s="447">
        <v>0</v>
      </c>
      <c r="AJ119" s="447">
        <v>0</v>
      </c>
      <c r="AK119" s="447">
        <v>0</v>
      </c>
      <c r="AL119" s="463">
        <f>HLOOKUP(LEFT(Summary!D3,2),Actual!F66:AJ156,69,FALSE)</f>
        <v>0</v>
      </c>
      <c r="AM119" s="223"/>
    </row>
    <row r="120" spans="2:39" ht="14.25" customHeight="1">
      <c r="C120" s="988"/>
      <c r="D120" s="996"/>
      <c r="E120" s="452" t="s">
        <v>26</v>
      </c>
      <c r="F120" s="448">
        <v>0</v>
      </c>
      <c r="G120" s="448">
        <v>0</v>
      </c>
      <c r="H120" s="448">
        <v>0</v>
      </c>
      <c r="I120" s="448">
        <v>0</v>
      </c>
      <c r="J120" s="448">
        <v>0</v>
      </c>
      <c r="K120" s="448">
        <v>0</v>
      </c>
      <c r="L120" s="448">
        <v>0</v>
      </c>
      <c r="M120" s="448">
        <v>0</v>
      </c>
      <c r="N120" s="448">
        <v>0</v>
      </c>
      <c r="O120" s="448">
        <v>0</v>
      </c>
      <c r="P120" s="448">
        <v>0</v>
      </c>
      <c r="Q120" s="448">
        <v>0</v>
      </c>
      <c r="R120" s="448">
        <v>0</v>
      </c>
      <c r="S120" s="448">
        <v>0</v>
      </c>
      <c r="T120" s="448">
        <v>0</v>
      </c>
      <c r="U120" s="448">
        <v>0</v>
      </c>
      <c r="V120" s="448">
        <v>0</v>
      </c>
      <c r="W120" s="448">
        <v>0</v>
      </c>
      <c r="X120" s="448">
        <v>0</v>
      </c>
      <c r="Y120" s="448">
        <v>0</v>
      </c>
      <c r="Z120" s="448">
        <v>0</v>
      </c>
      <c r="AA120" s="448">
        <v>0</v>
      </c>
      <c r="AB120" s="448">
        <v>0</v>
      </c>
      <c r="AC120" s="448">
        <v>0</v>
      </c>
      <c r="AD120" s="448">
        <v>0</v>
      </c>
      <c r="AE120" s="448">
        <v>0</v>
      </c>
      <c r="AF120" s="448">
        <v>0</v>
      </c>
      <c r="AG120" s="448">
        <v>0</v>
      </c>
      <c r="AH120" s="448">
        <v>0</v>
      </c>
      <c r="AI120" s="448">
        <v>0</v>
      </c>
      <c r="AJ120" s="448">
        <v>0</v>
      </c>
      <c r="AK120" s="448">
        <v>0</v>
      </c>
      <c r="AL120" s="467">
        <f>HLOOKUP(LEFT(Summary!D3,2),Actual!F66:AJ156,70,FALSE)</f>
        <v>0</v>
      </c>
      <c r="AM120" s="223"/>
    </row>
    <row r="121" spans="2:39" ht="14.25" customHeight="1">
      <c r="C121" s="988"/>
      <c r="D121" s="996"/>
      <c r="E121" s="378" t="s">
        <v>138</v>
      </c>
      <c r="F121" s="449">
        <f t="shared" ref="F121:AJ121" si="45">SUM(F122:F123)</f>
        <v>0</v>
      </c>
      <c r="G121" s="449">
        <f t="shared" si="45"/>
        <v>0</v>
      </c>
      <c r="H121" s="449">
        <f t="shared" si="45"/>
        <v>0</v>
      </c>
      <c r="I121" s="449">
        <f t="shared" si="45"/>
        <v>0</v>
      </c>
      <c r="J121" s="449">
        <f t="shared" si="45"/>
        <v>0</v>
      </c>
      <c r="K121" s="449">
        <f t="shared" si="45"/>
        <v>0</v>
      </c>
      <c r="L121" s="449">
        <f t="shared" si="45"/>
        <v>0</v>
      </c>
      <c r="M121" s="449">
        <f t="shared" si="45"/>
        <v>0</v>
      </c>
      <c r="N121" s="449">
        <f t="shared" si="45"/>
        <v>0</v>
      </c>
      <c r="O121" s="449">
        <f t="shared" si="45"/>
        <v>0</v>
      </c>
      <c r="P121" s="449">
        <f t="shared" si="45"/>
        <v>0</v>
      </c>
      <c r="Q121" s="449">
        <f t="shared" si="45"/>
        <v>0</v>
      </c>
      <c r="R121" s="449">
        <f t="shared" si="45"/>
        <v>0</v>
      </c>
      <c r="S121" s="449">
        <f t="shared" si="45"/>
        <v>0</v>
      </c>
      <c r="T121" s="449">
        <f t="shared" si="45"/>
        <v>0</v>
      </c>
      <c r="U121" s="449">
        <f t="shared" si="45"/>
        <v>0</v>
      </c>
      <c r="V121" s="449">
        <f t="shared" si="45"/>
        <v>0</v>
      </c>
      <c r="W121" s="449">
        <f t="shared" si="45"/>
        <v>0</v>
      </c>
      <c r="X121" s="449">
        <f t="shared" si="45"/>
        <v>0</v>
      </c>
      <c r="Y121" s="449">
        <f t="shared" si="45"/>
        <v>0</v>
      </c>
      <c r="Z121" s="449">
        <f t="shared" si="45"/>
        <v>0</v>
      </c>
      <c r="AA121" s="449">
        <f t="shared" si="45"/>
        <v>0</v>
      </c>
      <c r="AB121" s="449">
        <f t="shared" si="45"/>
        <v>0</v>
      </c>
      <c r="AC121" s="449">
        <f t="shared" si="45"/>
        <v>0</v>
      </c>
      <c r="AD121" s="449">
        <f t="shared" si="45"/>
        <v>0</v>
      </c>
      <c r="AE121" s="449">
        <f t="shared" si="45"/>
        <v>0</v>
      </c>
      <c r="AF121" s="449">
        <f t="shared" si="45"/>
        <v>0</v>
      </c>
      <c r="AG121" s="449">
        <f t="shared" si="45"/>
        <v>0</v>
      </c>
      <c r="AH121" s="449">
        <f t="shared" si="45"/>
        <v>0</v>
      </c>
      <c r="AI121" s="449">
        <f t="shared" si="45"/>
        <v>0</v>
      </c>
      <c r="AJ121" s="449">
        <f t="shared" si="45"/>
        <v>0</v>
      </c>
      <c r="AK121" s="464">
        <f>SUM(F121:AJ121)</f>
        <v>0</v>
      </c>
      <c r="AL121" s="465">
        <f>HLOOKUP(LEFT(Summary!D3,2),Actual!F66:AJ156,71,FALSE)</f>
        <v>0</v>
      </c>
      <c r="AM121" s="223"/>
    </row>
    <row r="122" spans="2:39" ht="14.25" customHeight="1">
      <c r="C122" s="988"/>
      <c r="D122" s="996"/>
      <c r="E122" s="446" t="s">
        <v>123</v>
      </c>
      <c r="F122" s="447">
        <v>0</v>
      </c>
      <c r="G122" s="447">
        <v>0</v>
      </c>
      <c r="H122" s="447">
        <v>0</v>
      </c>
      <c r="I122" s="447">
        <v>0</v>
      </c>
      <c r="J122" s="447">
        <v>0</v>
      </c>
      <c r="K122" s="447">
        <v>0</v>
      </c>
      <c r="L122" s="447">
        <v>0</v>
      </c>
      <c r="M122" s="447">
        <v>0</v>
      </c>
      <c r="N122" s="447">
        <v>0</v>
      </c>
      <c r="O122" s="447">
        <v>0</v>
      </c>
      <c r="P122" s="447">
        <v>0</v>
      </c>
      <c r="Q122" s="447">
        <v>0</v>
      </c>
      <c r="R122" s="447">
        <v>0</v>
      </c>
      <c r="S122" s="447">
        <v>0</v>
      </c>
      <c r="T122" s="447">
        <v>0</v>
      </c>
      <c r="U122" s="447">
        <v>0</v>
      </c>
      <c r="V122" s="447">
        <v>0</v>
      </c>
      <c r="W122" s="447">
        <v>0</v>
      </c>
      <c r="X122" s="447">
        <v>0</v>
      </c>
      <c r="Y122" s="447">
        <v>0</v>
      </c>
      <c r="Z122" s="447">
        <v>0</v>
      </c>
      <c r="AA122" s="447">
        <v>0</v>
      </c>
      <c r="AB122" s="447">
        <v>0</v>
      </c>
      <c r="AC122" s="447">
        <v>0</v>
      </c>
      <c r="AD122" s="447">
        <v>0</v>
      </c>
      <c r="AE122" s="447">
        <v>0</v>
      </c>
      <c r="AF122" s="447">
        <v>0</v>
      </c>
      <c r="AG122" s="447">
        <v>0</v>
      </c>
      <c r="AH122" s="447">
        <v>0</v>
      </c>
      <c r="AI122" s="447">
        <v>0</v>
      </c>
      <c r="AJ122" s="447">
        <v>0</v>
      </c>
      <c r="AK122" s="447">
        <v>0</v>
      </c>
      <c r="AL122" s="463">
        <f>HLOOKUP(LEFT(Summary!D3,2),Actual!F66:AJ156,72,FALSE)</f>
        <v>0</v>
      </c>
      <c r="AM122" s="223"/>
    </row>
    <row r="123" spans="2:39" ht="14.25" customHeight="1">
      <c r="C123" s="988"/>
      <c r="D123" s="996"/>
      <c r="E123" s="452" t="s">
        <v>26</v>
      </c>
      <c r="F123" s="448">
        <v>0</v>
      </c>
      <c r="G123" s="448">
        <v>0</v>
      </c>
      <c r="H123" s="448">
        <v>0</v>
      </c>
      <c r="I123" s="448">
        <v>0</v>
      </c>
      <c r="J123" s="448">
        <v>0</v>
      </c>
      <c r="K123" s="448">
        <v>0</v>
      </c>
      <c r="L123" s="448">
        <v>0</v>
      </c>
      <c r="M123" s="448">
        <v>0</v>
      </c>
      <c r="N123" s="448">
        <v>0</v>
      </c>
      <c r="O123" s="448">
        <v>0</v>
      </c>
      <c r="P123" s="448">
        <v>0</v>
      </c>
      <c r="Q123" s="448">
        <v>0</v>
      </c>
      <c r="R123" s="448">
        <v>0</v>
      </c>
      <c r="S123" s="448">
        <v>0</v>
      </c>
      <c r="T123" s="448">
        <v>0</v>
      </c>
      <c r="U123" s="448">
        <v>0</v>
      </c>
      <c r="V123" s="448">
        <v>0</v>
      </c>
      <c r="W123" s="448">
        <v>0</v>
      </c>
      <c r="X123" s="448">
        <v>0</v>
      </c>
      <c r="Y123" s="448">
        <v>0</v>
      </c>
      <c r="Z123" s="448">
        <v>0</v>
      </c>
      <c r="AA123" s="448">
        <v>0</v>
      </c>
      <c r="AB123" s="448">
        <v>0</v>
      </c>
      <c r="AC123" s="448">
        <v>0</v>
      </c>
      <c r="AD123" s="448">
        <v>0</v>
      </c>
      <c r="AE123" s="448">
        <v>0</v>
      </c>
      <c r="AF123" s="448">
        <v>0</v>
      </c>
      <c r="AG123" s="448">
        <v>0</v>
      </c>
      <c r="AH123" s="448">
        <v>0</v>
      </c>
      <c r="AI123" s="448">
        <v>0</v>
      </c>
      <c r="AJ123" s="448">
        <v>0</v>
      </c>
      <c r="AK123" s="451">
        <v>0</v>
      </c>
      <c r="AL123" s="466">
        <f>HLOOKUP(LEFT(Summary!D3,2),Actual!F66:AJ156,73,FALSE)</f>
        <v>0</v>
      </c>
      <c r="AM123" s="223"/>
    </row>
    <row r="124" spans="2:39" ht="14.25" hidden="1" customHeight="1">
      <c r="C124" s="988"/>
      <c r="D124" s="996"/>
      <c r="E124" s="361" t="s">
        <v>139</v>
      </c>
      <c r="F124" s="456">
        <f t="shared" ref="F124:AJ124" si="46">SUM(F125:F126)</f>
        <v>0</v>
      </c>
      <c r="G124" s="456">
        <f t="shared" si="46"/>
        <v>0</v>
      </c>
      <c r="H124" s="456">
        <f t="shared" si="46"/>
        <v>0</v>
      </c>
      <c r="I124" s="456">
        <f t="shared" si="46"/>
        <v>0</v>
      </c>
      <c r="J124" s="456">
        <f t="shared" si="46"/>
        <v>0</v>
      </c>
      <c r="K124" s="456">
        <f t="shared" si="46"/>
        <v>0</v>
      </c>
      <c r="L124" s="456">
        <f t="shared" si="46"/>
        <v>0</v>
      </c>
      <c r="M124" s="456">
        <f t="shared" si="46"/>
        <v>0</v>
      </c>
      <c r="N124" s="456">
        <f t="shared" si="46"/>
        <v>0</v>
      </c>
      <c r="O124" s="456">
        <f t="shared" si="46"/>
        <v>0</v>
      </c>
      <c r="P124" s="456">
        <f t="shared" si="46"/>
        <v>0</v>
      </c>
      <c r="Q124" s="456">
        <f t="shared" si="46"/>
        <v>0</v>
      </c>
      <c r="R124" s="456">
        <f t="shared" si="46"/>
        <v>0</v>
      </c>
      <c r="S124" s="456">
        <f t="shared" si="46"/>
        <v>0</v>
      </c>
      <c r="T124" s="456">
        <f t="shared" si="46"/>
        <v>0</v>
      </c>
      <c r="U124" s="456">
        <f t="shared" si="46"/>
        <v>0</v>
      </c>
      <c r="V124" s="456">
        <f t="shared" si="46"/>
        <v>0</v>
      </c>
      <c r="W124" s="456">
        <f t="shared" si="46"/>
        <v>0</v>
      </c>
      <c r="X124" s="456">
        <f t="shared" si="46"/>
        <v>0</v>
      </c>
      <c r="Y124" s="456">
        <f t="shared" si="46"/>
        <v>0</v>
      </c>
      <c r="Z124" s="456">
        <f t="shared" si="46"/>
        <v>0</v>
      </c>
      <c r="AA124" s="456">
        <f t="shared" si="46"/>
        <v>0</v>
      </c>
      <c r="AB124" s="456">
        <f t="shared" si="46"/>
        <v>0</v>
      </c>
      <c r="AC124" s="456">
        <f t="shared" si="46"/>
        <v>0</v>
      </c>
      <c r="AD124" s="456">
        <f t="shared" si="46"/>
        <v>0</v>
      </c>
      <c r="AE124" s="456">
        <f t="shared" si="46"/>
        <v>0</v>
      </c>
      <c r="AF124" s="456">
        <f t="shared" si="46"/>
        <v>0</v>
      </c>
      <c r="AG124" s="456">
        <f t="shared" si="46"/>
        <v>0</v>
      </c>
      <c r="AH124" s="456">
        <f t="shared" si="46"/>
        <v>0</v>
      </c>
      <c r="AI124" s="456">
        <f t="shared" si="46"/>
        <v>0</v>
      </c>
      <c r="AJ124" s="456">
        <f t="shared" si="46"/>
        <v>0</v>
      </c>
      <c r="AK124" s="461">
        <f>SUM(F124:AJ124)</f>
        <v>0</v>
      </c>
      <c r="AL124" s="462">
        <f>HLOOKUP(LEFT(Summary!D3,2),Actual!F66:AJ156,74,FALSE)</f>
        <v>0</v>
      </c>
      <c r="AM124" s="223"/>
    </row>
    <row r="125" spans="2:39" ht="14.25" hidden="1" customHeight="1">
      <c r="C125" s="988"/>
      <c r="D125" s="996"/>
      <c r="E125" s="446" t="s">
        <v>123</v>
      </c>
      <c r="F125" s="447">
        <v>0</v>
      </c>
      <c r="G125" s="447">
        <v>0</v>
      </c>
      <c r="H125" s="447">
        <v>0</v>
      </c>
      <c r="I125" s="447">
        <v>0</v>
      </c>
      <c r="J125" s="447">
        <v>0</v>
      </c>
      <c r="K125" s="447">
        <v>0</v>
      </c>
      <c r="L125" s="447">
        <v>0</v>
      </c>
      <c r="M125" s="447">
        <v>0</v>
      </c>
      <c r="N125" s="447">
        <v>0</v>
      </c>
      <c r="O125" s="447">
        <v>0</v>
      </c>
      <c r="P125" s="447">
        <v>0</v>
      </c>
      <c r="Q125" s="447">
        <v>0</v>
      </c>
      <c r="R125" s="447">
        <v>0</v>
      </c>
      <c r="S125" s="447">
        <v>0</v>
      </c>
      <c r="T125" s="447">
        <v>0</v>
      </c>
      <c r="U125" s="447">
        <v>0</v>
      </c>
      <c r="V125" s="447">
        <v>0</v>
      </c>
      <c r="W125" s="447">
        <v>0</v>
      </c>
      <c r="X125" s="447">
        <v>0</v>
      </c>
      <c r="Y125" s="447">
        <v>0</v>
      </c>
      <c r="Z125" s="447">
        <v>0</v>
      </c>
      <c r="AA125" s="447">
        <v>0</v>
      </c>
      <c r="AB125" s="447">
        <v>0</v>
      </c>
      <c r="AC125" s="447">
        <v>0</v>
      </c>
      <c r="AD125" s="447">
        <v>0</v>
      </c>
      <c r="AE125" s="447">
        <v>0</v>
      </c>
      <c r="AF125" s="447">
        <v>0</v>
      </c>
      <c r="AG125" s="447">
        <v>0</v>
      </c>
      <c r="AH125" s="447">
        <v>0</v>
      </c>
      <c r="AI125" s="447">
        <v>0</v>
      </c>
      <c r="AJ125" s="447">
        <v>0</v>
      </c>
      <c r="AK125" s="447">
        <v>0</v>
      </c>
      <c r="AL125" s="463">
        <f>HLOOKUP(LEFT(Summary!D3,2),Actual!F66:AJ156,75,FALSE)</f>
        <v>0</v>
      </c>
      <c r="AM125" s="223"/>
    </row>
    <row r="126" spans="2:39" ht="14.25" hidden="1" customHeight="1">
      <c r="C126" s="988"/>
      <c r="D126" s="996"/>
      <c r="E126" s="457" t="s">
        <v>26</v>
      </c>
      <c r="F126" s="448">
        <v>0</v>
      </c>
      <c r="G126" s="448">
        <v>0</v>
      </c>
      <c r="H126" s="448">
        <v>0</v>
      </c>
      <c r="I126" s="448">
        <v>0</v>
      </c>
      <c r="J126" s="448">
        <v>0</v>
      </c>
      <c r="K126" s="448">
        <v>0</v>
      </c>
      <c r="L126" s="448">
        <v>0</v>
      </c>
      <c r="M126" s="448">
        <v>0</v>
      </c>
      <c r="N126" s="448">
        <v>0</v>
      </c>
      <c r="O126" s="448">
        <v>0</v>
      </c>
      <c r="P126" s="448">
        <v>0</v>
      </c>
      <c r="Q126" s="448">
        <v>0</v>
      </c>
      <c r="R126" s="448">
        <v>0</v>
      </c>
      <c r="S126" s="448">
        <v>0</v>
      </c>
      <c r="T126" s="458">
        <v>0</v>
      </c>
      <c r="U126" s="458">
        <v>0</v>
      </c>
      <c r="V126" s="458">
        <v>0</v>
      </c>
      <c r="W126" s="458">
        <v>0</v>
      </c>
      <c r="X126" s="458">
        <v>0</v>
      </c>
      <c r="Y126" s="458">
        <v>0</v>
      </c>
      <c r="Z126" s="458">
        <v>0</v>
      </c>
      <c r="AA126" s="458">
        <v>0</v>
      </c>
      <c r="AB126" s="458">
        <v>0</v>
      </c>
      <c r="AC126" s="458">
        <v>0</v>
      </c>
      <c r="AD126" s="458">
        <v>0</v>
      </c>
      <c r="AE126" s="458">
        <v>0</v>
      </c>
      <c r="AF126" s="458">
        <v>0</v>
      </c>
      <c r="AG126" s="458">
        <v>0</v>
      </c>
      <c r="AH126" s="458">
        <v>0</v>
      </c>
      <c r="AI126" s="458">
        <v>0</v>
      </c>
      <c r="AJ126" s="458">
        <v>0</v>
      </c>
      <c r="AK126" s="458">
        <v>0</v>
      </c>
      <c r="AL126" s="476">
        <f>HLOOKUP(LEFT(Summary!D3,2),Actual!F66:AJ156,76,FALSE)</f>
        <v>0</v>
      </c>
      <c r="AM126" s="223"/>
    </row>
    <row r="127" spans="2:39" ht="14.25" hidden="1" customHeight="1">
      <c r="C127" s="988"/>
      <c r="D127" s="996"/>
      <c r="E127" s="378" t="s">
        <v>126</v>
      </c>
      <c r="F127" s="445">
        <f t="shared" ref="F127:AH127" si="47">SUM(F128:F129)</f>
        <v>0</v>
      </c>
      <c r="G127" s="445">
        <f t="shared" si="47"/>
        <v>0</v>
      </c>
      <c r="H127" s="445">
        <f t="shared" si="47"/>
        <v>0</v>
      </c>
      <c r="I127" s="445">
        <f t="shared" si="47"/>
        <v>0</v>
      </c>
      <c r="J127" s="445">
        <f t="shared" si="47"/>
        <v>0</v>
      </c>
      <c r="K127" s="445">
        <f t="shared" si="47"/>
        <v>0</v>
      </c>
      <c r="L127" s="445">
        <f t="shared" si="47"/>
        <v>0</v>
      </c>
      <c r="M127" s="445">
        <f t="shared" si="47"/>
        <v>0</v>
      </c>
      <c r="N127" s="445">
        <f t="shared" si="47"/>
        <v>0</v>
      </c>
      <c r="O127" s="445">
        <f t="shared" si="47"/>
        <v>0</v>
      </c>
      <c r="P127" s="445">
        <f t="shared" si="47"/>
        <v>0</v>
      </c>
      <c r="Q127" s="445">
        <f t="shared" si="47"/>
        <v>0</v>
      </c>
      <c r="R127" s="445">
        <f t="shared" si="47"/>
        <v>0</v>
      </c>
      <c r="S127" s="445">
        <f t="shared" si="47"/>
        <v>0</v>
      </c>
      <c r="T127" s="449">
        <f t="shared" si="47"/>
        <v>0</v>
      </c>
      <c r="U127" s="449">
        <f t="shared" si="47"/>
        <v>0</v>
      </c>
      <c r="V127" s="449">
        <f t="shared" si="47"/>
        <v>0</v>
      </c>
      <c r="W127" s="449">
        <f t="shared" si="47"/>
        <v>0</v>
      </c>
      <c r="X127" s="449">
        <f t="shared" si="47"/>
        <v>0</v>
      </c>
      <c r="Y127" s="449">
        <f t="shared" si="47"/>
        <v>0</v>
      </c>
      <c r="Z127" s="449">
        <f t="shared" si="47"/>
        <v>0</v>
      </c>
      <c r="AA127" s="449">
        <f t="shared" si="47"/>
        <v>0</v>
      </c>
      <c r="AB127" s="449">
        <f t="shared" si="47"/>
        <v>0</v>
      </c>
      <c r="AC127" s="449">
        <f t="shared" si="47"/>
        <v>0</v>
      </c>
      <c r="AD127" s="449">
        <f t="shared" si="47"/>
        <v>0</v>
      </c>
      <c r="AE127" s="449">
        <f t="shared" si="47"/>
        <v>0</v>
      </c>
      <c r="AF127" s="449">
        <f t="shared" si="47"/>
        <v>0</v>
      </c>
      <c r="AG127" s="449">
        <f t="shared" si="47"/>
        <v>0</v>
      </c>
      <c r="AH127" s="449">
        <f t="shared" si="47"/>
        <v>0</v>
      </c>
      <c r="AI127" s="449">
        <f>AI128+AI129</f>
        <v>0</v>
      </c>
      <c r="AJ127" s="449">
        <f>SUM(AJ128:AJ129)</f>
        <v>0</v>
      </c>
      <c r="AK127" s="464">
        <f>SUM(F127:AJ127)</f>
        <v>0</v>
      </c>
      <c r="AL127" s="468" t="e">
        <f>HLOOKUP(LEFT(Summary!D6,2),Actual!F69:AJ159,74,FALSE)</f>
        <v>#N/A</v>
      </c>
      <c r="AM127" s="223"/>
    </row>
    <row r="128" spans="2:39" ht="14.25" hidden="1" customHeight="1">
      <c r="C128" s="988"/>
      <c r="D128" s="996"/>
      <c r="E128" s="446" t="s">
        <v>123</v>
      </c>
      <c r="F128" s="447">
        <v>0</v>
      </c>
      <c r="G128" s="447">
        <v>0</v>
      </c>
      <c r="H128" s="447">
        <v>0</v>
      </c>
      <c r="I128" s="447">
        <v>0</v>
      </c>
      <c r="J128" s="447">
        <v>0</v>
      </c>
      <c r="K128" s="447">
        <v>0</v>
      </c>
      <c r="L128" s="447">
        <v>0</v>
      </c>
      <c r="M128" s="447">
        <v>0</v>
      </c>
      <c r="N128" s="447">
        <v>0</v>
      </c>
      <c r="O128" s="447">
        <v>0</v>
      </c>
      <c r="P128" s="447">
        <v>0</v>
      </c>
      <c r="Q128" s="447">
        <v>0</v>
      </c>
      <c r="R128" s="447">
        <v>0</v>
      </c>
      <c r="S128" s="447">
        <v>0</v>
      </c>
      <c r="T128" s="447">
        <v>0</v>
      </c>
      <c r="U128" s="447">
        <v>0</v>
      </c>
      <c r="V128" s="447">
        <v>0</v>
      </c>
      <c r="W128" s="447">
        <v>0</v>
      </c>
      <c r="X128" s="447">
        <v>0</v>
      </c>
      <c r="Y128" s="447">
        <v>0</v>
      </c>
      <c r="Z128" s="447">
        <v>0</v>
      </c>
      <c r="AA128" s="447">
        <v>0</v>
      </c>
      <c r="AB128" s="447">
        <v>0</v>
      </c>
      <c r="AC128" s="447">
        <v>0</v>
      </c>
      <c r="AD128" s="447">
        <v>0</v>
      </c>
      <c r="AE128" s="447">
        <v>0</v>
      </c>
      <c r="AF128" s="447">
        <v>0</v>
      </c>
      <c r="AG128" s="447">
        <v>0</v>
      </c>
      <c r="AH128" s="447">
        <v>0</v>
      </c>
      <c r="AI128" s="447">
        <v>0</v>
      </c>
      <c r="AJ128" s="447">
        <v>0</v>
      </c>
      <c r="AK128" s="447">
        <v>0</v>
      </c>
      <c r="AL128" s="469" t="e">
        <f>HLOOKUP(LEFT(Summary!D6,2),Actual!F69:AJ159,75,FALSE)</f>
        <v>#N/A</v>
      </c>
      <c r="AM128" s="223"/>
    </row>
    <row r="129" spans="3:39" ht="14.25" hidden="1" customHeight="1">
      <c r="C129" s="988"/>
      <c r="D129" s="996"/>
      <c r="E129" s="452" t="s">
        <v>26</v>
      </c>
      <c r="F129" s="448">
        <v>0</v>
      </c>
      <c r="G129" s="448">
        <v>0</v>
      </c>
      <c r="H129" s="448">
        <v>0</v>
      </c>
      <c r="I129" s="448">
        <v>0</v>
      </c>
      <c r="J129" s="448">
        <v>0</v>
      </c>
      <c r="K129" s="448">
        <v>0</v>
      </c>
      <c r="L129" s="448">
        <v>0</v>
      </c>
      <c r="M129" s="448">
        <v>0</v>
      </c>
      <c r="N129" s="448">
        <v>0</v>
      </c>
      <c r="O129" s="448">
        <v>0</v>
      </c>
      <c r="P129" s="448">
        <v>0</v>
      </c>
      <c r="Q129" s="448">
        <v>0</v>
      </c>
      <c r="R129" s="448">
        <v>0</v>
      </c>
      <c r="S129" s="448">
        <v>0</v>
      </c>
      <c r="T129" s="448">
        <v>0</v>
      </c>
      <c r="U129" s="448">
        <v>0</v>
      </c>
      <c r="V129" s="448">
        <v>0</v>
      </c>
      <c r="W129" s="448">
        <v>0</v>
      </c>
      <c r="X129" s="448">
        <v>0</v>
      </c>
      <c r="Y129" s="448">
        <v>0</v>
      </c>
      <c r="Z129" s="448">
        <v>0</v>
      </c>
      <c r="AA129" s="448">
        <v>0</v>
      </c>
      <c r="AB129" s="448">
        <v>0</v>
      </c>
      <c r="AC129" s="448">
        <v>0</v>
      </c>
      <c r="AD129" s="448">
        <v>0</v>
      </c>
      <c r="AE129" s="448">
        <v>0</v>
      </c>
      <c r="AF129" s="448">
        <v>0</v>
      </c>
      <c r="AG129" s="448">
        <v>0</v>
      </c>
      <c r="AH129" s="448">
        <v>0</v>
      </c>
      <c r="AI129" s="448">
        <v>0</v>
      </c>
      <c r="AJ129" s="448">
        <v>0</v>
      </c>
      <c r="AK129" s="451">
        <v>0</v>
      </c>
      <c r="AL129" s="527" t="e">
        <f>HLOOKUP(LEFT(Summary!D6,2),Actual!F69:AJ159,76,FALSE)</f>
        <v>#N/A</v>
      </c>
      <c r="AM129" s="223"/>
    </row>
    <row r="130" spans="3:39" ht="14.25" hidden="1" customHeight="1">
      <c r="C130" s="988"/>
      <c r="D130" s="996"/>
      <c r="E130" s="361" t="s">
        <v>127</v>
      </c>
      <c r="F130" s="445">
        <f t="shared" ref="F130:AH130" si="48">SUM(F131:F132)</f>
        <v>0</v>
      </c>
      <c r="G130" s="445">
        <f t="shared" si="48"/>
        <v>0</v>
      </c>
      <c r="H130" s="445">
        <f t="shared" si="48"/>
        <v>0</v>
      </c>
      <c r="I130" s="445">
        <f t="shared" si="48"/>
        <v>0</v>
      </c>
      <c r="J130" s="445">
        <f t="shared" si="48"/>
        <v>0</v>
      </c>
      <c r="K130" s="445">
        <f t="shared" si="48"/>
        <v>0</v>
      </c>
      <c r="L130" s="445">
        <f t="shared" si="48"/>
        <v>0</v>
      </c>
      <c r="M130" s="445">
        <f t="shared" si="48"/>
        <v>0</v>
      </c>
      <c r="N130" s="445">
        <f t="shared" si="48"/>
        <v>0</v>
      </c>
      <c r="O130" s="445">
        <f t="shared" si="48"/>
        <v>0</v>
      </c>
      <c r="P130" s="445">
        <f t="shared" si="48"/>
        <v>0</v>
      </c>
      <c r="Q130" s="445">
        <f t="shared" si="48"/>
        <v>0</v>
      </c>
      <c r="R130" s="445">
        <f t="shared" si="48"/>
        <v>0</v>
      </c>
      <c r="S130" s="445">
        <f t="shared" si="48"/>
        <v>0</v>
      </c>
      <c r="T130" s="445">
        <f t="shared" si="48"/>
        <v>0</v>
      </c>
      <c r="U130" s="445">
        <f t="shared" si="48"/>
        <v>0</v>
      </c>
      <c r="V130" s="445">
        <f t="shared" si="48"/>
        <v>0</v>
      </c>
      <c r="W130" s="445">
        <f t="shared" si="48"/>
        <v>0</v>
      </c>
      <c r="X130" s="445">
        <f t="shared" si="48"/>
        <v>0</v>
      </c>
      <c r="Y130" s="445">
        <f t="shared" si="48"/>
        <v>0</v>
      </c>
      <c r="Z130" s="445">
        <f t="shared" si="48"/>
        <v>0</v>
      </c>
      <c r="AA130" s="445">
        <f t="shared" si="48"/>
        <v>0</v>
      </c>
      <c r="AB130" s="445">
        <f t="shared" si="48"/>
        <v>0</v>
      </c>
      <c r="AC130" s="445">
        <f t="shared" si="48"/>
        <v>0</v>
      </c>
      <c r="AD130" s="445">
        <f t="shared" si="48"/>
        <v>0</v>
      </c>
      <c r="AE130" s="445">
        <f t="shared" si="48"/>
        <v>0</v>
      </c>
      <c r="AF130" s="445">
        <f t="shared" si="48"/>
        <v>0</v>
      </c>
      <c r="AG130" s="445">
        <f t="shared" si="48"/>
        <v>0</v>
      </c>
      <c r="AH130" s="445">
        <f t="shared" si="48"/>
        <v>0</v>
      </c>
      <c r="AI130" s="445">
        <f>AI131+AI132</f>
        <v>0</v>
      </c>
      <c r="AJ130" s="445">
        <f>SUM(AJ131:AJ132)</f>
        <v>0</v>
      </c>
      <c r="AK130" s="461">
        <f>SUM(F130:AJ130)</f>
        <v>0</v>
      </c>
      <c r="AL130" s="462">
        <f>HLOOKUP(LEFT(Summary!D3,2),Actual!F66:AJ156,77,FALSE)</f>
        <v>0</v>
      </c>
      <c r="AM130" s="223"/>
    </row>
    <row r="131" spans="3:39" ht="14.25" hidden="1" customHeight="1">
      <c r="C131" s="988"/>
      <c r="D131" s="996"/>
      <c r="E131" s="446" t="s">
        <v>123</v>
      </c>
      <c r="F131" s="447">
        <v>0</v>
      </c>
      <c r="G131" s="447">
        <v>0</v>
      </c>
      <c r="H131" s="447">
        <v>0</v>
      </c>
      <c r="I131" s="447">
        <v>0</v>
      </c>
      <c r="J131" s="447">
        <v>0</v>
      </c>
      <c r="K131" s="447">
        <v>0</v>
      </c>
      <c r="L131" s="447">
        <v>0</v>
      </c>
      <c r="M131" s="447">
        <v>0</v>
      </c>
      <c r="N131" s="447">
        <v>0</v>
      </c>
      <c r="O131" s="447">
        <v>0</v>
      </c>
      <c r="P131" s="447">
        <v>0</v>
      </c>
      <c r="Q131" s="447">
        <v>0</v>
      </c>
      <c r="R131" s="447">
        <v>0</v>
      </c>
      <c r="S131" s="447">
        <v>0</v>
      </c>
      <c r="T131" s="447">
        <v>0</v>
      </c>
      <c r="U131" s="447">
        <v>0</v>
      </c>
      <c r="V131" s="447">
        <v>0</v>
      </c>
      <c r="W131" s="447">
        <v>0</v>
      </c>
      <c r="X131" s="447">
        <v>0</v>
      </c>
      <c r="Y131" s="447">
        <v>0</v>
      </c>
      <c r="Z131" s="447">
        <v>0</v>
      </c>
      <c r="AA131" s="447">
        <v>0</v>
      </c>
      <c r="AB131" s="447">
        <v>0</v>
      </c>
      <c r="AC131" s="447">
        <v>0</v>
      </c>
      <c r="AD131" s="447">
        <v>0</v>
      </c>
      <c r="AE131" s="447">
        <v>0</v>
      </c>
      <c r="AF131" s="447">
        <v>0</v>
      </c>
      <c r="AG131" s="447">
        <v>0</v>
      </c>
      <c r="AH131" s="447">
        <v>0</v>
      </c>
      <c r="AI131" s="447">
        <v>0</v>
      </c>
      <c r="AJ131" s="447">
        <v>0</v>
      </c>
      <c r="AK131" s="447">
        <v>0</v>
      </c>
      <c r="AL131" s="463">
        <f>HLOOKUP(LEFT(Summary!D3,2),Actual!F66:AJ156,78,FALSE)</f>
        <v>0</v>
      </c>
      <c r="AM131" s="223"/>
    </row>
    <row r="132" spans="3:39" ht="14.25" hidden="1" customHeight="1">
      <c r="C132" s="988"/>
      <c r="D132" s="996"/>
      <c r="E132" s="452" t="s">
        <v>26</v>
      </c>
      <c r="F132" s="448">
        <v>0</v>
      </c>
      <c r="G132" s="448">
        <v>0</v>
      </c>
      <c r="H132" s="448">
        <v>0</v>
      </c>
      <c r="I132" s="448">
        <v>0</v>
      </c>
      <c r="J132" s="448">
        <v>0</v>
      </c>
      <c r="K132" s="448">
        <v>0</v>
      </c>
      <c r="L132" s="448">
        <v>0</v>
      </c>
      <c r="M132" s="448">
        <v>0</v>
      </c>
      <c r="N132" s="448">
        <v>0</v>
      </c>
      <c r="O132" s="448">
        <v>0</v>
      </c>
      <c r="P132" s="448">
        <v>0</v>
      </c>
      <c r="Q132" s="448">
        <v>0</v>
      </c>
      <c r="R132" s="448">
        <v>0</v>
      </c>
      <c r="S132" s="448">
        <v>0</v>
      </c>
      <c r="T132" s="448">
        <v>0</v>
      </c>
      <c r="U132" s="448">
        <v>0</v>
      </c>
      <c r="V132" s="448">
        <v>0</v>
      </c>
      <c r="W132" s="448">
        <v>0</v>
      </c>
      <c r="X132" s="448">
        <v>0</v>
      </c>
      <c r="Y132" s="448">
        <v>0</v>
      </c>
      <c r="Z132" s="448">
        <v>0</v>
      </c>
      <c r="AA132" s="448">
        <v>0</v>
      </c>
      <c r="AB132" s="448">
        <v>0</v>
      </c>
      <c r="AC132" s="448">
        <v>0</v>
      </c>
      <c r="AD132" s="448">
        <v>0</v>
      </c>
      <c r="AE132" s="448">
        <v>0</v>
      </c>
      <c r="AF132" s="448">
        <v>0</v>
      </c>
      <c r="AG132" s="448">
        <v>0</v>
      </c>
      <c r="AH132" s="448">
        <v>0</v>
      </c>
      <c r="AI132" s="448">
        <v>0</v>
      </c>
      <c r="AJ132" s="448">
        <v>0</v>
      </c>
      <c r="AK132" s="448">
        <v>0</v>
      </c>
      <c r="AL132" s="466">
        <f>HLOOKUP(LEFT(Summary!D3,2),Actual!F66:AJ156,79,FALSE)</f>
        <v>0</v>
      </c>
      <c r="AM132" s="223"/>
    </row>
    <row r="133" spans="3:39" ht="14.25" hidden="1" customHeight="1">
      <c r="C133" s="988"/>
      <c r="D133" s="996"/>
      <c r="E133" s="361" t="s">
        <v>140</v>
      </c>
      <c r="F133" s="449">
        <f t="shared" ref="F133:K133" si="49">SUM(F134:F135)</f>
        <v>0</v>
      </c>
      <c r="G133" s="449">
        <f t="shared" si="49"/>
        <v>0</v>
      </c>
      <c r="H133" s="449">
        <f t="shared" si="49"/>
        <v>0</v>
      </c>
      <c r="I133" s="449">
        <f t="shared" si="49"/>
        <v>0</v>
      </c>
      <c r="J133" s="449">
        <f t="shared" si="49"/>
        <v>0</v>
      </c>
      <c r="K133" s="449">
        <f t="shared" si="49"/>
        <v>0</v>
      </c>
      <c r="L133" s="449">
        <f>L134+L135</f>
        <v>0</v>
      </c>
      <c r="M133" s="449">
        <f t="shared" ref="M133:AJ133" si="50">SUM(M134:M135)</f>
        <v>0</v>
      </c>
      <c r="N133" s="449">
        <f t="shared" si="50"/>
        <v>0</v>
      </c>
      <c r="O133" s="449">
        <f t="shared" si="50"/>
        <v>0</v>
      </c>
      <c r="P133" s="449">
        <f t="shared" si="50"/>
        <v>0</v>
      </c>
      <c r="Q133" s="449">
        <f t="shared" si="50"/>
        <v>0</v>
      </c>
      <c r="R133" s="449">
        <f t="shared" si="50"/>
        <v>0</v>
      </c>
      <c r="S133" s="449">
        <f t="shared" si="50"/>
        <v>0</v>
      </c>
      <c r="T133" s="449">
        <f t="shared" si="50"/>
        <v>0</v>
      </c>
      <c r="U133" s="449">
        <f t="shared" si="50"/>
        <v>0</v>
      </c>
      <c r="V133" s="449">
        <f t="shared" si="50"/>
        <v>0</v>
      </c>
      <c r="W133" s="449">
        <f t="shared" si="50"/>
        <v>0</v>
      </c>
      <c r="X133" s="449">
        <f t="shared" si="50"/>
        <v>0</v>
      </c>
      <c r="Y133" s="449">
        <f t="shared" si="50"/>
        <v>0</v>
      </c>
      <c r="Z133" s="449">
        <f t="shared" si="50"/>
        <v>0</v>
      </c>
      <c r="AA133" s="449">
        <f t="shared" si="50"/>
        <v>0</v>
      </c>
      <c r="AB133" s="449">
        <f t="shared" si="50"/>
        <v>0</v>
      </c>
      <c r="AC133" s="449">
        <f t="shared" si="50"/>
        <v>0</v>
      </c>
      <c r="AD133" s="449">
        <f t="shared" si="50"/>
        <v>0</v>
      </c>
      <c r="AE133" s="449">
        <f t="shared" si="50"/>
        <v>0</v>
      </c>
      <c r="AF133" s="449">
        <f t="shared" si="50"/>
        <v>0</v>
      </c>
      <c r="AG133" s="449">
        <f t="shared" si="50"/>
        <v>0</v>
      </c>
      <c r="AH133" s="449">
        <f t="shared" si="50"/>
        <v>0</v>
      </c>
      <c r="AI133" s="449">
        <f t="shared" si="50"/>
        <v>0</v>
      </c>
      <c r="AJ133" s="449">
        <f t="shared" si="50"/>
        <v>0</v>
      </c>
      <c r="AK133" s="464">
        <f>SUM(F133:AJ133)</f>
        <v>0</v>
      </c>
      <c r="AL133" s="462">
        <f>HLOOKUP(LEFT(Summary!D3,2),Actual!F66:AJ156,80,FALSE)</f>
        <v>0</v>
      </c>
      <c r="AM133" s="223"/>
    </row>
    <row r="134" spans="3:39" ht="14.25" hidden="1" customHeight="1">
      <c r="C134" s="988"/>
      <c r="D134" s="996"/>
      <c r="E134" s="446" t="s">
        <v>123</v>
      </c>
      <c r="F134" s="447">
        <v>0</v>
      </c>
      <c r="G134" s="447">
        <v>0</v>
      </c>
      <c r="H134" s="447">
        <v>0</v>
      </c>
      <c r="I134" s="447">
        <v>0</v>
      </c>
      <c r="J134" s="447">
        <v>0</v>
      </c>
      <c r="K134" s="447">
        <v>0</v>
      </c>
      <c r="L134" s="447">
        <v>0</v>
      </c>
      <c r="M134" s="447">
        <v>0</v>
      </c>
      <c r="N134" s="447">
        <v>0</v>
      </c>
      <c r="O134" s="447">
        <v>0</v>
      </c>
      <c r="P134" s="447">
        <v>0</v>
      </c>
      <c r="Q134" s="447">
        <v>0</v>
      </c>
      <c r="R134" s="447">
        <v>0</v>
      </c>
      <c r="S134" s="447">
        <v>0</v>
      </c>
      <c r="T134" s="447">
        <v>0</v>
      </c>
      <c r="U134" s="447">
        <v>0</v>
      </c>
      <c r="V134" s="447">
        <v>0</v>
      </c>
      <c r="W134" s="447">
        <v>0</v>
      </c>
      <c r="X134" s="447">
        <v>0</v>
      </c>
      <c r="Y134" s="447">
        <v>0</v>
      </c>
      <c r="Z134" s="447">
        <v>0</v>
      </c>
      <c r="AA134" s="447">
        <v>0</v>
      </c>
      <c r="AB134" s="447">
        <v>0</v>
      </c>
      <c r="AC134" s="447">
        <v>0</v>
      </c>
      <c r="AD134" s="447">
        <v>0</v>
      </c>
      <c r="AE134" s="447">
        <v>0</v>
      </c>
      <c r="AF134" s="447">
        <v>0</v>
      </c>
      <c r="AG134" s="447">
        <v>0</v>
      </c>
      <c r="AH134" s="447">
        <v>0</v>
      </c>
      <c r="AI134" s="447">
        <v>0</v>
      </c>
      <c r="AJ134" s="447">
        <v>0</v>
      </c>
      <c r="AK134" s="447">
        <v>0</v>
      </c>
      <c r="AL134" s="463">
        <f>HLOOKUP(LEFT(Summary!D3,2),Actual!F66:AJ156,81,FALSE)</f>
        <v>0</v>
      </c>
      <c r="AM134" s="223"/>
    </row>
    <row r="135" spans="3:39" ht="14.25" hidden="1" customHeight="1">
      <c r="C135" s="988"/>
      <c r="D135" s="996"/>
      <c r="E135" s="452" t="s">
        <v>26</v>
      </c>
      <c r="F135" s="448">
        <v>0</v>
      </c>
      <c r="G135" s="448">
        <v>0</v>
      </c>
      <c r="H135" s="448">
        <v>0</v>
      </c>
      <c r="I135" s="448">
        <v>0</v>
      </c>
      <c r="J135" s="448">
        <v>0</v>
      </c>
      <c r="K135" s="448">
        <v>0</v>
      </c>
      <c r="L135" s="448">
        <v>0</v>
      </c>
      <c r="M135" s="448">
        <v>0</v>
      </c>
      <c r="N135" s="448">
        <v>0</v>
      </c>
      <c r="O135" s="448">
        <v>0</v>
      </c>
      <c r="P135" s="448">
        <v>0</v>
      </c>
      <c r="Q135" s="448">
        <v>0</v>
      </c>
      <c r="R135" s="448">
        <v>0</v>
      </c>
      <c r="S135" s="448">
        <v>0</v>
      </c>
      <c r="T135" s="448">
        <v>0</v>
      </c>
      <c r="U135" s="448">
        <v>0</v>
      </c>
      <c r="V135" s="448">
        <v>0</v>
      </c>
      <c r="W135" s="448">
        <v>0</v>
      </c>
      <c r="X135" s="448">
        <v>0</v>
      </c>
      <c r="Y135" s="448">
        <v>0</v>
      </c>
      <c r="Z135" s="448">
        <v>0</v>
      </c>
      <c r="AA135" s="448">
        <v>0</v>
      </c>
      <c r="AB135" s="448">
        <v>0</v>
      </c>
      <c r="AC135" s="448">
        <v>0</v>
      </c>
      <c r="AD135" s="448">
        <v>0</v>
      </c>
      <c r="AE135" s="448">
        <v>0</v>
      </c>
      <c r="AF135" s="448">
        <v>0</v>
      </c>
      <c r="AG135" s="448">
        <v>0</v>
      </c>
      <c r="AH135" s="448">
        <v>0</v>
      </c>
      <c r="AI135" s="448">
        <v>0</v>
      </c>
      <c r="AJ135" s="448">
        <v>0</v>
      </c>
      <c r="AK135" s="448">
        <v>0</v>
      </c>
      <c r="AL135" s="467">
        <f>HLOOKUP(LEFT(Summary!D3,2),Actual!F66:AJ156,82,FALSE)</f>
        <v>0</v>
      </c>
      <c r="AM135" s="223"/>
    </row>
    <row r="136" spans="3:39" ht="15" hidden="1" customHeight="1">
      <c r="C136" s="988"/>
      <c r="D136" s="996"/>
      <c r="E136" s="361" t="s">
        <v>141</v>
      </c>
      <c r="F136" s="449">
        <f t="shared" ref="F136:AJ136" si="51">SUM(F137:F138)</f>
        <v>0</v>
      </c>
      <c r="G136" s="449">
        <f t="shared" si="51"/>
        <v>0</v>
      </c>
      <c r="H136" s="449">
        <f t="shared" si="51"/>
        <v>0</v>
      </c>
      <c r="I136" s="449">
        <f t="shared" si="51"/>
        <v>0</v>
      </c>
      <c r="J136" s="449">
        <f t="shared" si="51"/>
        <v>0</v>
      </c>
      <c r="K136" s="449">
        <f t="shared" si="51"/>
        <v>0</v>
      </c>
      <c r="L136" s="449">
        <f t="shared" si="51"/>
        <v>0</v>
      </c>
      <c r="M136" s="449">
        <f t="shared" si="51"/>
        <v>0</v>
      </c>
      <c r="N136" s="449">
        <f t="shared" si="51"/>
        <v>0</v>
      </c>
      <c r="O136" s="449">
        <f t="shared" si="51"/>
        <v>0</v>
      </c>
      <c r="P136" s="449">
        <f t="shared" si="51"/>
        <v>0</v>
      </c>
      <c r="Q136" s="449">
        <f t="shared" si="51"/>
        <v>0</v>
      </c>
      <c r="R136" s="449">
        <f t="shared" si="51"/>
        <v>0</v>
      </c>
      <c r="S136" s="449">
        <f t="shared" si="51"/>
        <v>0</v>
      </c>
      <c r="T136" s="449">
        <f t="shared" si="51"/>
        <v>0</v>
      </c>
      <c r="U136" s="449">
        <f t="shared" si="51"/>
        <v>0</v>
      </c>
      <c r="V136" s="449">
        <f t="shared" si="51"/>
        <v>0</v>
      </c>
      <c r="W136" s="449">
        <f t="shared" si="51"/>
        <v>0</v>
      </c>
      <c r="X136" s="449">
        <f t="shared" si="51"/>
        <v>0</v>
      </c>
      <c r="Y136" s="449">
        <f t="shared" si="51"/>
        <v>0</v>
      </c>
      <c r="Z136" s="449">
        <f t="shared" si="51"/>
        <v>0</v>
      </c>
      <c r="AA136" s="449">
        <f t="shared" si="51"/>
        <v>0</v>
      </c>
      <c r="AB136" s="449">
        <f t="shared" si="51"/>
        <v>0</v>
      </c>
      <c r="AC136" s="449">
        <f t="shared" si="51"/>
        <v>0</v>
      </c>
      <c r="AD136" s="449">
        <f t="shared" si="51"/>
        <v>0</v>
      </c>
      <c r="AE136" s="449">
        <f t="shared" si="51"/>
        <v>0</v>
      </c>
      <c r="AF136" s="449">
        <f t="shared" si="51"/>
        <v>0</v>
      </c>
      <c r="AG136" s="449">
        <f t="shared" si="51"/>
        <v>0</v>
      </c>
      <c r="AH136" s="449">
        <f t="shared" si="51"/>
        <v>0</v>
      </c>
      <c r="AI136" s="449">
        <f t="shared" si="51"/>
        <v>0</v>
      </c>
      <c r="AJ136" s="449">
        <f t="shared" si="51"/>
        <v>0</v>
      </c>
      <c r="AK136" s="464">
        <f>SUM(F136:AJ136)</f>
        <v>0</v>
      </c>
      <c r="AL136" s="465">
        <f>HLOOKUP(LEFT(Summary!D3,2),Actual!F66:AJ156,83,FALSE)</f>
        <v>0</v>
      </c>
      <c r="AM136" s="223"/>
    </row>
    <row r="137" spans="3:39" ht="15" hidden="1" customHeight="1">
      <c r="C137" s="988"/>
      <c r="D137" s="996"/>
      <c r="E137" s="446" t="s">
        <v>123</v>
      </c>
      <c r="F137" s="447">
        <v>0</v>
      </c>
      <c r="G137" s="447">
        <v>0</v>
      </c>
      <c r="H137" s="447">
        <v>0</v>
      </c>
      <c r="I137" s="447">
        <v>0</v>
      </c>
      <c r="J137" s="447">
        <v>0</v>
      </c>
      <c r="K137" s="447">
        <v>0</v>
      </c>
      <c r="L137" s="447">
        <v>0</v>
      </c>
      <c r="M137" s="447">
        <v>0</v>
      </c>
      <c r="N137" s="447">
        <v>0</v>
      </c>
      <c r="O137" s="447">
        <v>0</v>
      </c>
      <c r="P137" s="447">
        <v>0</v>
      </c>
      <c r="Q137" s="447">
        <v>0</v>
      </c>
      <c r="R137" s="447">
        <v>0</v>
      </c>
      <c r="S137" s="447">
        <v>0</v>
      </c>
      <c r="T137" s="447">
        <v>0</v>
      </c>
      <c r="U137" s="447">
        <v>0</v>
      </c>
      <c r="V137" s="447">
        <v>0</v>
      </c>
      <c r="W137" s="447">
        <v>0</v>
      </c>
      <c r="X137" s="447">
        <v>0</v>
      </c>
      <c r="Y137" s="447">
        <v>0</v>
      </c>
      <c r="Z137" s="447">
        <v>0</v>
      </c>
      <c r="AA137" s="447">
        <v>0</v>
      </c>
      <c r="AB137" s="447">
        <v>0</v>
      </c>
      <c r="AC137" s="447">
        <v>0</v>
      </c>
      <c r="AD137" s="447">
        <v>0</v>
      </c>
      <c r="AE137" s="447">
        <v>0</v>
      </c>
      <c r="AF137" s="447">
        <v>0</v>
      </c>
      <c r="AG137" s="447">
        <v>0</v>
      </c>
      <c r="AH137" s="447">
        <v>0</v>
      </c>
      <c r="AI137" s="447">
        <v>0</v>
      </c>
      <c r="AJ137" s="447">
        <v>0</v>
      </c>
      <c r="AK137" s="447">
        <v>0</v>
      </c>
      <c r="AL137" s="463">
        <f>HLOOKUP(LEFT(Summary!D3,2),Actual!F66:AJ156,84,FALSE)</f>
        <v>0</v>
      </c>
      <c r="AM137" s="223"/>
    </row>
    <row r="138" spans="3:39" ht="15" hidden="1" customHeight="1">
      <c r="C138" s="988"/>
      <c r="D138" s="996"/>
      <c r="E138" s="452" t="s">
        <v>26</v>
      </c>
      <c r="F138" s="448">
        <v>0</v>
      </c>
      <c r="G138" s="448">
        <v>0</v>
      </c>
      <c r="H138" s="448">
        <v>0</v>
      </c>
      <c r="I138" s="448">
        <v>0</v>
      </c>
      <c r="J138" s="448">
        <v>0</v>
      </c>
      <c r="K138" s="448">
        <v>0</v>
      </c>
      <c r="L138" s="448">
        <v>0</v>
      </c>
      <c r="M138" s="448">
        <v>0</v>
      </c>
      <c r="N138" s="448">
        <v>0</v>
      </c>
      <c r="O138" s="448">
        <v>0</v>
      </c>
      <c r="P138" s="448">
        <v>0</v>
      </c>
      <c r="Q138" s="448">
        <v>0</v>
      </c>
      <c r="R138" s="448">
        <v>0</v>
      </c>
      <c r="S138" s="448">
        <v>0</v>
      </c>
      <c r="T138" s="448">
        <v>0</v>
      </c>
      <c r="U138" s="448">
        <v>0</v>
      </c>
      <c r="V138" s="448">
        <v>0</v>
      </c>
      <c r="W138" s="448">
        <v>0</v>
      </c>
      <c r="X138" s="448">
        <v>0</v>
      </c>
      <c r="Y138" s="448">
        <v>0</v>
      </c>
      <c r="Z138" s="448">
        <v>0</v>
      </c>
      <c r="AA138" s="448">
        <v>0</v>
      </c>
      <c r="AB138" s="448">
        <v>0</v>
      </c>
      <c r="AC138" s="448">
        <v>0</v>
      </c>
      <c r="AD138" s="448">
        <v>0</v>
      </c>
      <c r="AE138" s="448">
        <v>0</v>
      </c>
      <c r="AF138" s="448">
        <v>0</v>
      </c>
      <c r="AG138" s="448">
        <v>0</v>
      </c>
      <c r="AH138" s="448">
        <v>0</v>
      </c>
      <c r="AI138" s="448">
        <v>0</v>
      </c>
      <c r="AJ138" s="448">
        <v>0</v>
      </c>
      <c r="AK138" s="451">
        <v>0</v>
      </c>
      <c r="AL138" s="463">
        <f>HLOOKUP(LEFT(Summary!D3,2),Actual!F66:AJ156,85,FALSE)</f>
        <v>0</v>
      </c>
      <c r="AM138" s="223"/>
    </row>
    <row r="139" spans="3:39" ht="15" hidden="1" customHeight="1">
      <c r="C139" s="988"/>
      <c r="D139" s="996"/>
      <c r="E139" s="361" t="s">
        <v>142</v>
      </c>
      <c r="F139" s="445">
        <f t="shared" ref="F139:K139" si="52">SUM(F140:F141)</f>
        <v>0</v>
      </c>
      <c r="G139" s="445">
        <f t="shared" si="52"/>
        <v>0</v>
      </c>
      <c r="H139" s="445">
        <f t="shared" si="52"/>
        <v>0</v>
      </c>
      <c r="I139" s="445">
        <f t="shared" si="52"/>
        <v>0</v>
      </c>
      <c r="J139" s="445">
        <f t="shared" si="52"/>
        <v>0</v>
      </c>
      <c r="K139" s="445">
        <f t="shared" si="52"/>
        <v>0</v>
      </c>
      <c r="L139" s="445">
        <f>L140+L141</f>
        <v>0</v>
      </c>
      <c r="M139" s="445">
        <f t="shared" ref="M139:AJ139" si="53">SUM(M140:M141)</f>
        <v>0</v>
      </c>
      <c r="N139" s="445">
        <f t="shared" si="53"/>
        <v>0</v>
      </c>
      <c r="O139" s="445">
        <f t="shared" si="53"/>
        <v>0</v>
      </c>
      <c r="P139" s="445">
        <f t="shared" si="53"/>
        <v>0</v>
      </c>
      <c r="Q139" s="445">
        <f t="shared" si="53"/>
        <v>0</v>
      </c>
      <c r="R139" s="445">
        <f t="shared" si="53"/>
        <v>0</v>
      </c>
      <c r="S139" s="445">
        <f t="shared" si="53"/>
        <v>0</v>
      </c>
      <c r="T139" s="445">
        <f t="shared" si="53"/>
        <v>0</v>
      </c>
      <c r="U139" s="445">
        <f t="shared" si="53"/>
        <v>0</v>
      </c>
      <c r="V139" s="445">
        <f t="shared" si="53"/>
        <v>0</v>
      </c>
      <c r="W139" s="445">
        <f t="shared" si="53"/>
        <v>0</v>
      </c>
      <c r="X139" s="445">
        <f t="shared" si="53"/>
        <v>0</v>
      </c>
      <c r="Y139" s="445">
        <f t="shared" si="53"/>
        <v>0</v>
      </c>
      <c r="Z139" s="445">
        <f t="shared" si="53"/>
        <v>0</v>
      </c>
      <c r="AA139" s="445">
        <f t="shared" si="53"/>
        <v>0</v>
      </c>
      <c r="AB139" s="445">
        <f t="shared" si="53"/>
        <v>0</v>
      </c>
      <c r="AC139" s="445">
        <f t="shared" si="53"/>
        <v>0</v>
      </c>
      <c r="AD139" s="445">
        <f t="shared" si="53"/>
        <v>0</v>
      </c>
      <c r="AE139" s="445">
        <f t="shared" si="53"/>
        <v>0</v>
      </c>
      <c r="AF139" s="445">
        <f t="shared" si="53"/>
        <v>0</v>
      </c>
      <c r="AG139" s="445">
        <f t="shared" si="53"/>
        <v>0</v>
      </c>
      <c r="AH139" s="445">
        <f t="shared" si="53"/>
        <v>0</v>
      </c>
      <c r="AI139" s="445">
        <f t="shared" si="53"/>
        <v>0</v>
      </c>
      <c r="AJ139" s="445">
        <f t="shared" si="53"/>
        <v>0</v>
      </c>
      <c r="AK139" s="461">
        <f>SUM(F139:AJ139)</f>
        <v>0</v>
      </c>
      <c r="AL139" s="462">
        <f>HLOOKUP(LEFT(Summary!D3,2),Actual!F66:AJ156,35,FALSE)</f>
        <v>0</v>
      </c>
      <c r="AM139" s="223"/>
    </row>
    <row r="140" spans="3:39" ht="15" hidden="1" customHeight="1">
      <c r="C140" s="988"/>
      <c r="D140" s="996"/>
      <c r="E140" s="446" t="s">
        <v>123</v>
      </c>
      <c r="F140" s="447">
        <v>0</v>
      </c>
      <c r="G140" s="447">
        <v>0</v>
      </c>
      <c r="H140" s="447">
        <v>0</v>
      </c>
      <c r="I140" s="447">
        <v>0</v>
      </c>
      <c r="J140" s="447">
        <v>0</v>
      </c>
      <c r="K140" s="447">
        <v>0</v>
      </c>
      <c r="L140" s="447">
        <v>0</v>
      </c>
      <c r="M140" s="447">
        <v>0</v>
      </c>
      <c r="N140" s="447">
        <v>0</v>
      </c>
      <c r="O140" s="447">
        <v>0</v>
      </c>
      <c r="P140" s="447">
        <v>0</v>
      </c>
      <c r="Q140" s="447">
        <v>0</v>
      </c>
      <c r="R140" s="447">
        <v>0</v>
      </c>
      <c r="S140" s="447">
        <v>0</v>
      </c>
      <c r="T140" s="447">
        <v>0</v>
      </c>
      <c r="U140" s="447">
        <v>0</v>
      </c>
      <c r="V140" s="447">
        <v>0</v>
      </c>
      <c r="W140" s="447">
        <v>0</v>
      </c>
      <c r="X140" s="447">
        <v>0</v>
      </c>
      <c r="Y140" s="447">
        <v>0</v>
      </c>
      <c r="Z140" s="447">
        <v>0</v>
      </c>
      <c r="AA140" s="447">
        <v>0</v>
      </c>
      <c r="AB140" s="447">
        <v>0</v>
      </c>
      <c r="AC140" s="447">
        <v>0</v>
      </c>
      <c r="AD140" s="447">
        <v>0</v>
      </c>
      <c r="AE140" s="447">
        <v>0</v>
      </c>
      <c r="AF140" s="447">
        <v>0</v>
      </c>
      <c r="AG140" s="447">
        <v>0</v>
      </c>
      <c r="AH140" s="447">
        <v>0</v>
      </c>
      <c r="AI140" s="447">
        <v>0</v>
      </c>
      <c r="AJ140" s="447">
        <v>0</v>
      </c>
      <c r="AK140" s="447">
        <v>0</v>
      </c>
      <c r="AL140" s="463">
        <f>HLOOKUP(LEFT(Summary!D3,2),Actual!F66:AJ156,36,FALSE)</f>
        <v>0</v>
      </c>
      <c r="AM140" s="223"/>
    </row>
    <row r="141" spans="3:39" ht="15" hidden="1" customHeight="1">
      <c r="C141" s="989"/>
      <c r="D141" s="996"/>
      <c r="E141" s="452" t="s">
        <v>26</v>
      </c>
      <c r="F141" s="448">
        <v>0</v>
      </c>
      <c r="G141" s="448">
        <v>0</v>
      </c>
      <c r="H141" s="448">
        <v>0</v>
      </c>
      <c r="I141" s="448">
        <v>0</v>
      </c>
      <c r="J141" s="448">
        <v>0</v>
      </c>
      <c r="K141" s="448">
        <v>0</v>
      </c>
      <c r="L141" s="448">
        <v>0</v>
      </c>
      <c r="M141" s="448">
        <v>0</v>
      </c>
      <c r="N141" s="448">
        <v>0</v>
      </c>
      <c r="O141" s="448">
        <v>0</v>
      </c>
      <c r="P141" s="448">
        <v>0</v>
      </c>
      <c r="Q141" s="448">
        <v>0</v>
      </c>
      <c r="R141" s="448">
        <v>0</v>
      </c>
      <c r="S141" s="448">
        <v>0</v>
      </c>
      <c r="T141" s="448">
        <v>0</v>
      </c>
      <c r="U141" s="448">
        <v>0</v>
      </c>
      <c r="V141" s="448">
        <v>0</v>
      </c>
      <c r="W141" s="448">
        <v>0</v>
      </c>
      <c r="X141" s="448">
        <v>0</v>
      </c>
      <c r="Y141" s="448">
        <v>0</v>
      </c>
      <c r="Z141" s="448">
        <v>0</v>
      </c>
      <c r="AA141" s="448">
        <v>0</v>
      </c>
      <c r="AB141" s="448">
        <v>0</v>
      </c>
      <c r="AC141" s="448">
        <v>0</v>
      </c>
      <c r="AD141" s="448">
        <v>0</v>
      </c>
      <c r="AE141" s="448">
        <v>0</v>
      </c>
      <c r="AF141" s="448">
        <v>0</v>
      </c>
      <c r="AG141" s="448">
        <v>0</v>
      </c>
      <c r="AH141" s="448">
        <v>0</v>
      </c>
      <c r="AI141" s="448">
        <v>0</v>
      </c>
      <c r="AJ141" s="448">
        <v>0</v>
      </c>
      <c r="AK141" s="448">
        <v>0</v>
      </c>
      <c r="AL141" s="467">
        <f>HLOOKUP(LEFT(Summary!D3,2),Actual!F66:AJ156,37,FALSE)</f>
        <v>0</v>
      </c>
      <c r="AM141" s="223"/>
    </row>
    <row r="142" spans="3:39" ht="15" hidden="1" customHeight="1">
      <c r="C142" s="987" t="s">
        <v>143</v>
      </c>
      <c r="D142" s="996"/>
      <c r="E142" s="378" t="s">
        <v>144</v>
      </c>
      <c r="F142" s="449">
        <f t="shared" ref="F142:AJ142" si="54">SUM(F143:F144)</f>
        <v>0</v>
      </c>
      <c r="G142" s="449">
        <f t="shared" si="54"/>
        <v>0</v>
      </c>
      <c r="H142" s="449">
        <f t="shared" si="54"/>
        <v>0</v>
      </c>
      <c r="I142" s="449">
        <f t="shared" si="54"/>
        <v>0</v>
      </c>
      <c r="J142" s="449">
        <f t="shared" si="54"/>
        <v>0</v>
      </c>
      <c r="K142" s="449">
        <f t="shared" si="54"/>
        <v>0</v>
      </c>
      <c r="L142" s="449">
        <f t="shared" si="54"/>
        <v>0</v>
      </c>
      <c r="M142" s="449">
        <f t="shared" si="54"/>
        <v>0</v>
      </c>
      <c r="N142" s="449">
        <f t="shared" si="54"/>
        <v>0</v>
      </c>
      <c r="O142" s="449">
        <f t="shared" si="54"/>
        <v>0</v>
      </c>
      <c r="P142" s="449">
        <f t="shared" si="54"/>
        <v>0</v>
      </c>
      <c r="Q142" s="449">
        <f t="shared" si="54"/>
        <v>0</v>
      </c>
      <c r="R142" s="449">
        <f t="shared" si="54"/>
        <v>0</v>
      </c>
      <c r="S142" s="449">
        <f t="shared" si="54"/>
        <v>0</v>
      </c>
      <c r="T142" s="449">
        <f t="shared" si="54"/>
        <v>0</v>
      </c>
      <c r="U142" s="449">
        <f t="shared" si="54"/>
        <v>0</v>
      </c>
      <c r="V142" s="449">
        <f t="shared" si="54"/>
        <v>0</v>
      </c>
      <c r="W142" s="449">
        <f t="shared" si="54"/>
        <v>0</v>
      </c>
      <c r="X142" s="449">
        <f t="shared" si="54"/>
        <v>0</v>
      </c>
      <c r="Y142" s="449">
        <f t="shared" si="54"/>
        <v>0</v>
      </c>
      <c r="Z142" s="449">
        <f t="shared" si="54"/>
        <v>0</v>
      </c>
      <c r="AA142" s="449">
        <f t="shared" si="54"/>
        <v>0</v>
      </c>
      <c r="AB142" s="449">
        <f t="shared" si="54"/>
        <v>0</v>
      </c>
      <c r="AC142" s="449">
        <f t="shared" si="54"/>
        <v>0</v>
      </c>
      <c r="AD142" s="449">
        <f t="shared" si="54"/>
        <v>0</v>
      </c>
      <c r="AE142" s="449">
        <f t="shared" si="54"/>
        <v>0</v>
      </c>
      <c r="AF142" s="449">
        <f t="shared" si="54"/>
        <v>0</v>
      </c>
      <c r="AG142" s="449">
        <f t="shared" si="54"/>
        <v>0</v>
      </c>
      <c r="AH142" s="449">
        <f t="shared" si="54"/>
        <v>0</v>
      </c>
      <c r="AI142" s="449">
        <f t="shared" si="54"/>
        <v>0</v>
      </c>
      <c r="AJ142" s="449">
        <f t="shared" si="54"/>
        <v>0</v>
      </c>
      <c r="AK142" s="464">
        <f>SUM(F142:AJ142)</f>
        <v>0</v>
      </c>
      <c r="AL142" s="465">
        <f>HLOOKUP(LEFT(Summary!D3,2),Actual!F66:AJ156,26,FALSE)</f>
        <v>0</v>
      </c>
      <c r="AM142" s="223"/>
    </row>
    <row r="143" spans="3:39" ht="15" hidden="1" customHeight="1">
      <c r="C143" s="988"/>
      <c r="D143" s="996"/>
      <c r="E143" s="446" t="s">
        <v>123</v>
      </c>
      <c r="F143" s="447">
        <v>0</v>
      </c>
      <c r="G143" s="447">
        <v>0</v>
      </c>
      <c r="H143" s="447">
        <v>0</v>
      </c>
      <c r="I143" s="447">
        <v>0</v>
      </c>
      <c r="J143" s="447">
        <v>0</v>
      </c>
      <c r="K143" s="447">
        <v>0</v>
      </c>
      <c r="L143" s="447">
        <v>0</v>
      </c>
      <c r="M143" s="447">
        <v>0</v>
      </c>
      <c r="N143" s="447">
        <v>0</v>
      </c>
      <c r="O143" s="447">
        <v>0</v>
      </c>
      <c r="P143" s="447">
        <v>0</v>
      </c>
      <c r="Q143" s="447">
        <v>0</v>
      </c>
      <c r="R143" s="447">
        <v>0</v>
      </c>
      <c r="S143" s="447">
        <v>0</v>
      </c>
      <c r="T143" s="447">
        <v>0</v>
      </c>
      <c r="U143" s="447">
        <v>0</v>
      </c>
      <c r="V143" s="447">
        <v>0</v>
      </c>
      <c r="W143" s="447">
        <v>0</v>
      </c>
      <c r="X143" s="447">
        <v>0</v>
      </c>
      <c r="Y143" s="447">
        <v>0</v>
      </c>
      <c r="Z143" s="447">
        <v>0</v>
      </c>
      <c r="AA143" s="447">
        <v>0</v>
      </c>
      <c r="AB143" s="447">
        <v>0</v>
      </c>
      <c r="AC143" s="447">
        <v>0</v>
      </c>
      <c r="AD143" s="447">
        <v>0</v>
      </c>
      <c r="AE143" s="447">
        <v>0</v>
      </c>
      <c r="AF143" s="447">
        <v>0</v>
      </c>
      <c r="AG143" s="447">
        <v>0</v>
      </c>
      <c r="AH143" s="447">
        <v>0</v>
      </c>
      <c r="AI143" s="447">
        <v>0</v>
      </c>
      <c r="AJ143" s="447">
        <v>0</v>
      </c>
      <c r="AK143" s="447">
        <v>0</v>
      </c>
      <c r="AL143" s="463">
        <f>HLOOKUP(LEFT(Summary!D3,2),Actual!F66:AJ156,14,FALSE)</f>
        <v>0</v>
      </c>
      <c r="AM143" s="223"/>
    </row>
    <row r="144" spans="3:39" ht="15" hidden="1" customHeight="1">
      <c r="C144" s="988"/>
      <c r="D144" s="996"/>
      <c r="E144" s="450" t="s">
        <v>26</v>
      </c>
      <c r="F144" s="451">
        <v>0</v>
      </c>
      <c r="G144" s="451">
        <v>0</v>
      </c>
      <c r="H144" s="451">
        <v>0</v>
      </c>
      <c r="I144" s="451">
        <v>0</v>
      </c>
      <c r="J144" s="451">
        <v>0</v>
      </c>
      <c r="K144" s="451">
        <v>0</v>
      </c>
      <c r="L144" s="451">
        <v>0</v>
      </c>
      <c r="M144" s="451">
        <v>0</v>
      </c>
      <c r="N144" s="451">
        <v>0</v>
      </c>
      <c r="O144" s="451">
        <v>0</v>
      </c>
      <c r="P144" s="451">
        <v>0</v>
      </c>
      <c r="Q144" s="451">
        <v>0</v>
      </c>
      <c r="R144" s="451">
        <v>0</v>
      </c>
      <c r="S144" s="451">
        <v>0</v>
      </c>
      <c r="T144" s="451">
        <v>0</v>
      </c>
      <c r="U144" s="451">
        <v>0</v>
      </c>
      <c r="V144" s="451">
        <v>0</v>
      </c>
      <c r="W144" s="451">
        <v>0</v>
      </c>
      <c r="X144" s="451">
        <v>0</v>
      </c>
      <c r="Y144" s="451">
        <v>0</v>
      </c>
      <c r="Z144" s="451">
        <v>0</v>
      </c>
      <c r="AA144" s="451">
        <v>0</v>
      </c>
      <c r="AB144" s="451">
        <v>0</v>
      </c>
      <c r="AC144" s="451">
        <v>0</v>
      </c>
      <c r="AD144" s="451">
        <v>0</v>
      </c>
      <c r="AE144" s="451">
        <v>0</v>
      </c>
      <c r="AF144" s="451">
        <v>0</v>
      </c>
      <c r="AG144" s="451">
        <v>0</v>
      </c>
      <c r="AH144" s="451">
        <v>0</v>
      </c>
      <c r="AI144" s="451">
        <v>0</v>
      </c>
      <c r="AJ144" s="451">
        <v>0</v>
      </c>
      <c r="AK144" s="451">
        <v>0</v>
      </c>
      <c r="AL144" s="466">
        <f>HLOOKUP(LEFT(Summary!D3,2),Actual!F66:AJ156,15,FALSE)</f>
        <v>0</v>
      </c>
      <c r="AM144" s="223"/>
    </row>
    <row r="145" spans="1:39" ht="14.7" hidden="1" customHeight="1">
      <c r="C145" s="988"/>
      <c r="D145" s="996"/>
      <c r="E145" s="361" t="s">
        <v>145</v>
      </c>
      <c r="F145" s="445">
        <f t="shared" ref="F145:AJ145" si="55">SUM(F146:F147)</f>
        <v>0</v>
      </c>
      <c r="G145" s="445">
        <f t="shared" si="55"/>
        <v>0</v>
      </c>
      <c r="H145" s="445">
        <f t="shared" si="55"/>
        <v>0</v>
      </c>
      <c r="I145" s="445">
        <f t="shared" si="55"/>
        <v>0</v>
      </c>
      <c r="J145" s="445">
        <f t="shared" si="55"/>
        <v>0</v>
      </c>
      <c r="K145" s="445">
        <f t="shared" si="55"/>
        <v>0</v>
      </c>
      <c r="L145" s="445">
        <f t="shared" si="55"/>
        <v>0</v>
      </c>
      <c r="M145" s="445">
        <f t="shared" si="55"/>
        <v>0</v>
      </c>
      <c r="N145" s="445">
        <f t="shared" si="55"/>
        <v>0</v>
      </c>
      <c r="O145" s="445">
        <f t="shared" si="55"/>
        <v>0</v>
      </c>
      <c r="P145" s="445">
        <f t="shared" si="55"/>
        <v>0</v>
      </c>
      <c r="Q145" s="445">
        <f t="shared" si="55"/>
        <v>0</v>
      </c>
      <c r="R145" s="445">
        <f t="shared" si="55"/>
        <v>0</v>
      </c>
      <c r="S145" s="445">
        <f t="shared" si="55"/>
        <v>0</v>
      </c>
      <c r="T145" s="445">
        <f t="shared" si="55"/>
        <v>0</v>
      </c>
      <c r="U145" s="445">
        <f t="shared" si="55"/>
        <v>0</v>
      </c>
      <c r="V145" s="445">
        <f t="shared" si="55"/>
        <v>0</v>
      </c>
      <c r="W145" s="445">
        <f t="shared" si="55"/>
        <v>0</v>
      </c>
      <c r="X145" s="445">
        <f t="shared" si="55"/>
        <v>0</v>
      </c>
      <c r="Y145" s="445">
        <f t="shared" si="55"/>
        <v>0</v>
      </c>
      <c r="Z145" s="445">
        <f t="shared" si="55"/>
        <v>0</v>
      </c>
      <c r="AA145" s="445">
        <f t="shared" si="55"/>
        <v>0</v>
      </c>
      <c r="AB145" s="445">
        <f t="shared" si="55"/>
        <v>0</v>
      </c>
      <c r="AC145" s="445">
        <f t="shared" si="55"/>
        <v>0</v>
      </c>
      <c r="AD145" s="445">
        <f t="shared" si="55"/>
        <v>0</v>
      </c>
      <c r="AE145" s="445">
        <f t="shared" si="55"/>
        <v>0</v>
      </c>
      <c r="AF145" s="445">
        <f t="shared" si="55"/>
        <v>0</v>
      </c>
      <c r="AG145" s="445">
        <f t="shared" si="55"/>
        <v>0</v>
      </c>
      <c r="AH145" s="445">
        <f t="shared" si="55"/>
        <v>0</v>
      </c>
      <c r="AI145" s="445">
        <f t="shared" si="55"/>
        <v>0</v>
      </c>
      <c r="AJ145" s="445">
        <f t="shared" si="55"/>
        <v>0</v>
      </c>
      <c r="AK145" s="461">
        <f>SUM(F145:AJ145)</f>
        <v>0</v>
      </c>
      <c r="AL145" s="528">
        <f>HLOOKUP(LEFT(Summary!D3,2),Actual!F66:AJ156,41,FALSE)</f>
        <v>0</v>
      </c>
      <c r="AM145" s="223"/>
    </row>
    <row r="146" spans="1:39" ht="14.7" hidden="1" customHeight="1">
      <c r="C146" s="988"/>
      <c r="D146" s="996"/>
      <c r="E146" s="446" t="s">
        <v>123</v>
      </c>
      <c r="F146" s="447">
        <v>0</v>
      </c>
      <c r="G146" s="447">
        <v>0</v>
      </c>
      <c r="H146" s="447">
        <v>0</v>
      </c>
      <c r="I146" s="447">
        <v>0</v>
      </c>
      <c r="J146" s="447">
        <v>0</v>
      </c>
      <c r="K146" s="447">
        <v>0</v>
      </c>
      <c r="L146" s="447">
        <v>0</v>
      </c>
      <c r="M146" s="447">
        <v>0</v>
      </c>
      <c r="N146" s="447">
        <v>0</v>
      </c>
      <c r="O146" s="447">
        <v>0</v>
      </c>
      <c r="P146" s="447">
        <v>0</v>
      </c>
      <c r="Q146" s="447">
        <v>0</v>
      </c>
      <c r="R146" s="447">
        <v>0</v>
      </c>
      <c r="S146" s="447">
        <v>0</v>
      </c>
      <c r="T146" s="447">
        <v>0</v>
      </c>
      <c r="U146" s="447">
        <v>0</v>
      </c>
      <c r="V146" s="447">
        <v>0</v>
      </c>
      <c r="W146" s="447">
        <v>0</v>
      </c>
      <c r="X146" s="447">
        <v>0</v>
      </c>
      <c r="Y146" s="447">
        <v>0</v>
      </c>
      <c r="Z146" s="447">
        <v>0</v>
      </c>
      <c r="AA146" s="447">
        <v>0</v>
      </c>
      <c r="AB146" s="447">
        <v>0</v>
      </c>
      <c r="AC146" s="447">
        <v>0</v>
      </c>
      <c r="AD146" s="447">
        <v>0</v>
      </c>
      <c r="AE146" s="447">
        <v>0</v>
      </c>
      <c r="AF146" s="447">
        <v>0</v>
      </c>
      <c r="AG146" s="447">
        <v>0</v>
      </c>
      <c r="AH146" s="447">
        <v>0</v>
      </c>
      <c r="AI146" s="447">
        <v>0</v>
      </c>
      <c r="AJ146" s="447">
        <v>0</v>
      </c>
      <c r="AK146" s="447">
        <v>0</v>
      </c>
      <c r="AL146" s="466">
        <f>HLOOKUP(LEFT(Summary!D3,2),Actual!F66:AJ156,42,FALSE)</f>
        <v>0</v>
      </c>
      <c r="AM146" s="223"/>
    </row>
    <row r="147" spans="1:39" ht="15" hidden="1" customHeight="1">
      <c r="C147" s="988"/>
      <c r="D147" s="996"/>
      <c r="E147" s="452" t="s">
        <v>26</v>
      </c>
      <c r="F147" s="448">
        <v>0</v>
      </c>
      <c r="G147" s="448">
        <v>0</v>
      </c>
      <c r="H147" s="448">
        <v>0</v>
      </c>
      <c r="I147" s="448">
        <v>0</v>
      </c>
      <c r="J147" s="448">
        <v>0</v>
      </c>
      <c r="K147" s="448">
        <v>0</v>
      </c>
      <c r="L147" s="448">
        <v>0</v>
      </c>
      <c r="M147" s="448">
        <v>0</v>
      </c>
      <c r="N147" s="448">
        <v>0</v>
      </c>
      <c r="O147" s="448">
        <v>0</v>
      </c>
      <c r="P147" s="448">
        <v>0</v>
      </c>
      <c r="Q147" s="448">
        <v>0</v>
      </c>
      <c r="R147" s="448">
        <v>0</v>
      </c>
      <c r="S147" s="448">
        <v>0</v>
      </c>
      <c r="T147" s="448">
        <v>0</v>
      </c>
      <c r="U147" s="448">
        <v>0</v>
      </c>
      <c r="V147" s="448">
        <v>0</v>
      </c>
      <c r="W147" s="448">
        <v>0</v>
      </c>
      <c r="X147" s="448">
        <v>0</v>
      </c>
      <c r="Y147" s="448">
        <v>0</v>
      </c>
      <c r="Z147" s="448">
        <v>0</v>
      </c>
      <c r="AA147" s="448">
        <v>0</v>
      </c>
      <c r="AB147" s="448">
        <v>0</v>
      </c>
      <c r="AC147" s="448">
        <v>0</v>
      </c>
      <c r="AD147" s="448">
        <v>0</v>
      </c>
      <c r="AE147" s="448">
        <v>0</v>
      </c>
      <c r="AF147" s="448">
        <v>0</v>
      </c>
      <c r="AG147" s="448">
        <v>0</v>
      </c>
      <c r="AH147" s="448">
        <v>0</v>
      </c>
      <c r="AI147" s="448">
        <v>0</v>
      </c>
      <c r="AJ147" s="448">
        <v>0</v>
      </c>
      <c r="AK147" s="448">
        <v>0</v>
      </c>
      <c r="AL147" s="467">
        <f>HLOOKUP(LEFT(Summary!D3,2),Actual!F66:AJ156,43,FALSE)</f>
        <v>0</v>
      </c>
      <c r="AM147" s="223"/>
    </row>
    <row r="148" spans="1:39" ht="14.7" hidden="1" customHeight="1">
      <c r="C148" s="988"/>
      <c r="D148" s="996"/>
      <c r="E148" s="378" t="s">
        <v>146</v>
      </c>
      <c r="F148" s="449">
        <f t="shared" ref="F148:AJ148" si="56">SUM(F149:F150)</f>
        <v>0</v>
      </c>
      <c r="G148" s="449">
        <f t="shared" si="56"/>
        <v>0</v>
      </c>
      <c r="H148" s="449">
        <f t="shared" si="56"/>
        <v>0</v>
      </c>
      <c r="I148" s="449">
        <f t="shared" si="56"/>
        <v>0</v>
      </c>
      <c r="J148" s="449">
        <f t="shared" si="56"/>
        <v>0</v>
      </c>
      <c r="K148" s="449">
        <f t="shared" si="56"/>
        <v>0</v>
      </c>
      <c r="L148" s="449">
        <f t="shared" si="56"/>
        <v>0</v>
      </c>
      <c r="M148" s="449">
        <f t="shared" si="56"/>
        <v>0</v>
      </c>
      <c r="N148" s="449">
        <f t="shared" si="56"/>
        <v>0</v>
      </c>
      <c r="O148" s="449">
        <f t="shared" si="56"/>
        <v>0</v>
      </c>
      <c r="P148" s="449">
        <f t="shared" si="56"/>
        <v>0</v>
      </c>
      <c r="Q148" s="449">
        <f t="shared" si="56"/>
        <v>0</v>
      </c>
      <c r="R148" s="449">
        <f t="shared" si="56"/>
        <v>0</v>
      </c>
      <c r="S148" s="449">
        <f t="shared" si="56"/>
        <v>0</v>
      </c>
      <c r="T148" s="449">
        <f t="shared" si="56"/>
        <v>0</v>
      </c>
      <c r="U148" s="449">
        <f t="shared" si="56"/>
        <v>0</v>
      </c>
      <c r="V148" s="449">
        <f t="shared" si="56"/>
        <v>0</v>
      </c>
      <c r="W148" s="449">
        <f t="shared" si="56"/>
        <v>0</v>
      </c>
      <c r="X148" s="449">
        <f t="shared" si="56"/>
        <v>0</v>
      </c>
      <c r="Y148" s="449">
        <f t="shared" si="56"/>
        <v>0</v>
      </c>
      <c r="Z148" s="449">
        <f t="shared" si="56"/>
        <v>0</v>
      </c>
      <c r="AA148" s="449">
        <f t="shared" si="56"/>
        <v>0</v>
      </c>
      <c r="AB148" s="449">
        <f t="shared" si="56"/>
        <v>0</v>
      </c>
      <c r="AC148" s="449">
        <f t="shared" si="56"/>
        <v>0</v>
      </c>
      <c r="AD148" s="449">
        <f t="shared" si="56"/>
        <v>0</v>
      </c>
      <c r="AE148" s="449">
        <f t="shared" si="56"/>
        <v>0</v>
      </c>
      <c r="AF148" s="449">
        <f t="shared" si="56"/>
        <v>0</v>
      </c>
      <c r="AG148" s="449">
        <f t="shared" si="56"/>
        <v>0</v>
      </c>
      <c r="AH148" s="449">
        <f t="shared" si="56"/>
        <v>0</v>
      </c>
      <c r="AI148" s="449">
        <f t="shared" si="56"/>
        <v>0</v>
      </c>
      <c r="AJ148" s="449">
        <f t="shared" si="56"/>
        <v>0</v>
      </c>
      <c r="AK148" s="464">
        <f>SUM(F148:AJ148)</f>
        <v>0</v>
      </c>
      <c r="AL148" s="465">
        <f>HLOOKUP(LEFT(Summary!D3,2),Actual!F66:AJ156,77,FALSE)</f>
        <v>0</v>
      </c>
      <c r="AM148" s="529">
        <f>SUM(AK148,AK151)</f>
        <v>0</v>
      </c>
    </row>
    <row r="149" spans="1:39" ht="14.7" hidden="1" customHeight="1">
      <c r="C149" s="988"/>
      <c r="D149" s="996"/>
      <c r="E149" s="446" t="s">
        <v>123</v>
      </c>
      <c r="F149" s="447">
        <v>0</v>
      </c>
      <c r="G149" s="447">
        <v>0</v>
      </c>
      <c r="H149" s="447">
        <v>0</v>
      </c>
      <c r="I149" s="447">
        <v>0</v>
      </c>
      <c r="J149" s="447">
        <v>0</v>
      </c>
      <c r="K149" s="447">
        <v>0</v>
      </c>
      <c r="L149" s="447">
        <v>0</v>
      </c>
      <c r="M149" s="447">
        <v>0</v>
      </c>
      <c r="N149" s="447">
        <v>0</v>
      </c>
      <c r="O149" s="447"/>
      <c r="P149" s="447">
        <v>0</v>
      </c>
      <c r="Q149" s="447">
        <v>0</v>
      </c>
      <c r="R149" s="447">
        <v>0</v>
      </c>
      <c r="S149" s="447">
        <v>0</v>
      </c>
      <c r="T149" s="447">
        <v>0</v>
      </c>
      <c r="U149" s="447">
        <v>0</v>
      </c>
      <c r="V149" s="447">
        <v>0</v>
      </c>
      <c r="W149" s="447">
        <v>0</v>
      </c>
      <c r="X149" s="447">
        <v>0</v>
      </c>
      <c r="Y149" s="447">
        <v>0</v>
      </c>
      <c r="Z149" s="447">
        <v>0</v>
      </c>
      <c r="AA149" s="447">
        <v>0</v>
      </c>
      <c r="AB149" s="447">
        <v>0</v>
      </c>
      <c r="AC149" s="447">
        <v>0</v>
      </c>
      <c r="AD149" s="447">
        <v>0</v>
      </c>
      <c r="AE149" s="447">
        <v>0</v>
      </c>
      <c r="AF149" s="447">
        <v>0</v>
      </c>
      <c r="AG149" s="447">
        <v>0</v>
      </c>
      <c r="AH149" s="447">
        <v>0</v>
      </c>
      <c r="AI149" s="447">
        <v>0</v>
      </c>
      <c r="AJ149" s="447">
        <v>0</v>
      </c>
      <c r="AK149" s="447">
        <v>0</v>
      </c>
      <c r="AL149" s="463">
        <f>HLOOKUP(LEFT(Summary!D3,2),Actual!F66:AJ156,78,FALSE)</f>
        <v>0</v>
      </c>
      <c r="AM149" s="223"/>
    </row>
    <row r="150" spans="1:39" ht="15" hidden="1" customHeight="1">
      <c r="C150" s="988"/>
      <c r="D150" s="996"/>
      <c r="E150" s="452" t="s">
        <v>26</v>
      </c>
      <c r="F150" s="448">
        <v>0</v>
      </c>
      <c r="G150" s="448">
        <v>0</v>
      </c>
      <c r="H150" s="448">
        <v>0</v>
      </c>
      <c r="I150" s="448">
        <v>0</v>
      </c>
      <c r="J150" s="448">
        <v>0</v>
      </c>
      <c r="K150" s="448">
        <v>0</v>
      </c>
      <c r="L150" s="448">
        <v>0</v>
      </c>
      <c r="M150" s="448">
        <v>0</v>
      </c>
      <c r="N150" s="448">
        <v>0</v>
      </c>
      <c r="O150" s="448">
        <v>0</v>
      </c>
      <c r="P150" s="448">
        <v>0</v>
      </c>
      <c r="Q150" s="448">
        <v>0</v>
      </c>
      <c r="R150" s="448">
        <v>0</v>
      </c>
      <c r="S150" s="448">
        <v>0</v>
      </c>
      <c r="T150" s="448">
        <v>0</v>
      </c>
      <c r="U150" s="448">
        <v>0</v>
      </c>
      <c r="V150" s="448">
        <v>0</v>
      </c>
      <c r="W150" s="448">
        <v>0</v>
      </c>
      <c r="X150" s="448">
        <v>0</v>
      </c>
      <c r="Y150" s="448">
        <v>0</v>
      </c>
      <c r="Z150" s="448">
        <v>0</v>
      </c>
      <c r="AA150" s="448">
        <v>0</v>
      </c>
      <c r="AB150" s="448">
        <v>0</v>
      </c>
      <c r="AC150" s="448">
        <v>0</v>
      </c>
      <c r="AD150" s="448">
        <v>0</v>
      </c>
      <c r="AE150" s="448">
        <v>0</v>
      </c>
      <c r="AF150" s="448">
        <v>0</v>
      </c>
      <c r="AG150" s="448">
        <v>0</v>
      </c>
      <c r="AH150" s="448">
        <v>0</v>
      </c>
      <c r="AI150" s="448">
        <v>0</v>
      </c>
      <c r="AJ150" s="448">
        <v>0</v>
      </c>
      <c r="AK150" s="448">
        <v>0</v>
      </c>
      <c r="AL150" s="463">
        <f>HLOOKUP(LEFT(Summary!D3,2),Actual!F66:AJ156,79,FALSE)</f>
        <v>0</v>
      </c>
      <c r="AM150" s="223"/>
    </row>
    <row r="151" spans="1:39" ht="14.7" hidden="1" customHeight="1">
      <c r="C151" s="988"/>
      <c r="D151" s="996"/>
      <c r="E151" s="378" t="s">
        <v>147</v>
      </c>
      <c r="F151" s="449">
        <f t="shared" ref="F151:AJ151" si="57">SUM(F152:F153)</f>
        <v>0</v>
      </c>
      <c r="G151" s="449">
        <f t="shared" si="57"/>
        <v>0</v>
      </c>
      <c r="H151" s="449">
        <f t="shared" si="57"/>
        <v>0</v>
      </c>
      <c r="I151" s="449">
        <f t="shared" si="57"/>
        <v>0</v>
      </c>
      <c r="J151" s="449">
        <f t="shared" si="57"/>
        <v>0</v>
      </c>
      <c r="K151" s="449">
        <f t="shared" si="57"/>
        <v>0</v>
      </c>
      <c r="L151" s="449">
        <f t="shared" si="57"/>
        <v>0</v>
      </c>
      <c r="M151" s="449">
        <f t="shared" si="57"/>
        <v>0</v>
      </c>
      <c r="N151" s="449">
        <f t="shared" si="57"/>
        <v>0</v>
      </c>
      <c r="O151" s="449">
        <f t="shared" si="57"/>
        <v>0</v>
      </c>
      <c r="P151" s="449">
        <f t="shared" si="57"/>
        <v>0</v>
      </c>
      <c r="Q151" s="449">
        <f t="shared" si="57"/>
        <v>0</v>
      </c>
      <c r="R151" s="449">
        <f t="shared" si="57"/>
        <v>0</v>
      </c>
      <c r="S151" s="449">
        <f t="shared" si="57"/>
        <v>0</v>
      </c>
      <c r="T151" s="449">
        <f t="shared" si="57"/>
        <v>0</v>
      </c>
      <c r="U151" s="449">
        <f t="shared" si="57"/>
        <v>0</v>
      </c>
      <c r="V151" s="449">
        <f t="shared" si="57"/>
        <v>0</v>
      </c>
      <c r="W151" s="449">
        <f t="shared" si="57"/>
        <v>0</v>
      </c>
      <c r="X151" s="449">
        <f t="shared" si="57"/>
        <v>0</v>
      </c>
      <c r="Y151" s="449">
        <f t="shared" si="57"/>
        <v>0</v>
      </c>
      <c r="Z151" s="449">
        <f t="shared" si="57"/>
        <v>0</v>
      </c>
      <c r="AA151" s="449">
        <f t="shared" si="57"/>
        <v>0</v>
      </c>
      <c r="AB151" s="449">
        <f t="shared" si="57"/>
        <v>0</v>
      </c>
      <c r="AC151" s="449">
        <f t="shared" si="57"/>
        <v>0</v>
      </c>
      <c r="AD151" s="449">
        <f t="shared" si="57"/>
        <v>0</v>
      </c>
      <c r="AE151" s="449">
        <f t="shared" si="57"/>
        <v>0</v>
      </c>
      <c r="AF151" s="449">
        <f t="shared" si="57"/>
        <v>0</v>
      </c>
      <c r="AG151" s="449">
        <f t="shared" si="57"/>
        <v>0</v>
      </c>
      <c r="AH151" s="449">
        <f t="shared" si="57"/>
        <v>0</v>
      </c>
      <c r="AI151" s="449">
        <f t="shared" si="57"/>
        <v>0</v>
      </c>
      <c r="AJ151" s="449">
        <f t="shared" si="57"/>
        <v>0</v>
      </c>
      <c r="AK151" s="464">
        <f>SUM(F151:AJ151)</f>
        <v>0</v>
      </c>
      <c r="AL151" s="462">
        <f>HLOOKUP(LEFT(Summary!D3,2),Actual!F66:AJ156,80,FALSE)</f>
        <v>0</v>
      </c>
      <c r="AM151" s="223"/>
    </row>
    <row r="152" spans="1:39" ht="14.7" hidden="1" customHeight="1">
      <c r="C152" s="988"/>
      <c r="D152" s="996"/>
      <c r="E152" s="446" t="s">
        <v>123</v>
      </c>
      <c r="F152" s="447">
        <v>0</v>
      </c>
      <c r="G152" s="447">
        <v>0</v>
      </c>
      <c r="H152" s="447">
        <v>0</v>
      </c>
      <c r="I152" s="447">
        <v>0</v>
      </c>
      <c r="J152" s="447">
        <v>0</v>
      </c>
      <c r="K152" s="447">
        <v>0</v>
      </c>
      <c r="L152" s="447">
        <v>0</v>
      </c>
      <c r="M152" s="447">
        <v>0</v>
      </c>
      <c r="N152" s="447">
        <v>0</v>
      </c>
      <c r="O152" s="447">
        <v>0</v>
      </c>
      <c r="P152" s="447">
        <v>0</v>
      </c>
      <c r="Q152" s="447">
        <v>0</v>
      </c>
      <c r="R152" s="447">
        <v>0</v>
      </c>
      <c r="S152" s="447">
        <v>0</v>
      </c>
      <c r="T152" s="447">
        <v>0</v>
      </c>
      <c r="U152" s="447">
        <v>0</v>
      </c>
      <c r="V152" s="447">
        <v>0</v>
      </c>
      <c r="W152" s="447">
        <v>0</v>
      </c>
      <c r="X152" s="447">
        <v>0</v>
      </c>
      <c r="Y152" s="447">
        <v>0</v>
      </c>
      <c r="Z152" s="447">
        <v>0</v>
      </c>
      <c r="AA152" s="447">
        <v>0</v>
      </c>
      <c r="AB152" s="447">
        <v>0</v>
      </c>
      <c r="AC152" s="447">
        <v>0</v>
      </c>
      <c r="AD152" s="447">
        <v>0</v>
      </c>
      <c r="AE152" s="447">
        <v>0</v>
      </c>
      <c r="AF152" s="447">
        <v>0</v>
      </c>
      <c r="AG152" s="447">
        <v>0</v>
      </c>
      <c r="AH152" s="447">
        <v>0</v>
      </c>
      <c r="AI152" s="447">
        <v>0</v>
      </c>
      <c r="AJ152" s="447">
        <v>0</v>
      </c>
      <c r="AK152" s="447">
        <v>0</v>
      </c>
      <c r="AL152" s="463">
        <f>HLOOKUP(LEFT(Summary!D3,2),Actual!F66:AJ156,81,FALSE)</f>
        <v>0</v>
      </c>
      <c r="AM152" s="223"/>
    </row>
    <row r="153" spans="1:39" ht="14.7" hidden="1" customHeight="1">
      <c r="B153" s="221"/>
      <c r="C153" s="988"/>
      <c r="D153" s="996"/>
      <c r="E153" s="452" t="s">
        <v>26</v>
      </c>
      <c r="F153" s="448">
        <v>0</v>
      </c>
      <c r="G153" s="448">
        <v>0</v>
      </c>
      <c r="H153" s="448">
        <v>0</v>
      </c>
      <c r="I153" s="448">
        <v>0</v>
      </c>
      <c r="J153" s="448">
        <v>0</v>
      </c>
      <c r="K153" s="448">
        <v>0</v>
      </c>
      <c r="L153" s="448">
        <v>0</v>
      </c>
      <c r="M153" s="448">
        <v>0</v>
      </c>
      <c r="N153" s="448">
        <v>0</v>
      </c>
      <c r="O153" s="448">
        <v>0</v>
      </c>
      <c r="P153" s="448">
        <v>0</v>
      </c>
      <c r="Q153" s="448">
        <v>0</v>
      </c>
      <c r="R153" s="448">
        <v>0</v>
      </c>
      <c r="S153" s="448">
        <v>0</v>
      </c>
      <c r="T153" s="448">
        <v>0</v>
      </c>
      <c r="U153" s="448">
        <v>0</v>
      </c>
      <c r="V153" s="448">
        <v>0</v>
      </c>
      <c r="W153" s="448">
        <v>0</v>
      </c>
      <c r="X153" s="448">
        <v>0</v>
      </c>
      <c r="Y153" s="448">
        <v>0</v>
      </c>
      <c r="Z153" s="448">
        <v>0</v>
      </c>
      <c r="AA153" s="448">
        <v>0</v>
      </c>
      <c r="AB153" s="448">
        <v>0</v>
      </c>
      <c r="AC153" s="448">
        <v>0</v>
      </c>
      <c r="AD153" s="448">
        <v>0</v>
      </c>
      <c r="AE153" s="448">
        <v>0</v>
      </c>
      <c r="AF153" s="448">
        <v>0</v>
      </c>
      <c r="AG153" s="448">
        <v>0</v>
      </c>
      <c r="AH153" s="448">
        <v>0</v>
      </c>
      <c r="AI153" s="448">
        <v>0</v>
      </c>
      <c r="AJ153" s="448">
        <v>0</v>
      </c>
      <c r="AK153" s="448">
        <v>0</v>
      </c>
      <c r="AL153" s="466">
        <f>HLOOKUP(LEFT(Summary!D3,2),Actual!F66:AJ156,82,FALSE)</f>
        <v>0</v>
      </c>
      <c r="AM153" s="223"/>
    </row>
    <row r="154" spans="1:39" ht="15.75" hidden="1" customHeight="1">
      <c r="A154" s="221"/>
      <c r="C154" s="988"/>
      <c r="D154" s="996"/>
      <c r="E154" s="479" t="s">
        <v>148</v>
      </c>
      <c r="F154" s="449">
        <f t="shared" ref="F154:AJ154" si="58">SUM(F155:F156)</f>
        <v>0</v>
      </c>
      <c r="G154" s="449">
        <f t="shared" si="58"/>
        <v>0</v>
      </c>
      <c r="H154" s="449">
        <f t="shared" si="58"/>
        <v>0</v>
      </c>
      <c r="I154" s="449">
        <f t="shared" si="58"/>
        <v>0</v>
      </c>
      <c r="J154" s="449">
        <f t="shared" si="58"/>
        <v>0</v>
      </c>
      <c r="K154" s="449">
        <f t="shared" si="58"/>
        <v>0</v>
      </c>
      <c r="L154" s="449">
        <f t="shared" si="58"/>
        <v>0</v>
      </c>
      <c r="M154" s="449">
        <f t="shared" si="58"/>
        <v>0</v>
      </c>
      <c r="N154" s="449">
        <f t="shared" si="58"/>
        <v>0</v>
      </c>
      <c r="O154" s="449">
        <f t="shared" si="58"/>
        <v>0</v>
      </c>
      <c r="P154" s="449">
        <f t="shared" si="58"/>
        <v>0</v>
      </c>
      <c r="Q154" s="449">
        <f t="shared" si="58"/>
        <v>0</v>
      </c>
      <c r="R154" s="449">
        <f t="shared" si="58"/>
        <v>0</v>
      </c>
      <c r="S154" s="449">
        <f t="shared" si="58"/>
        <v>0</v>
      </c>
      <c r="T154" s="449">
        <f t="shared" si="58"/>
        <v>0</v>
      </c>
      <c r="U154" s="449">
        <f t="shared" si="58"/>
        <v>0</v>
      </c>
      <c r="V154" s="449">
        <f t="shared" si="58"/>
        <v>0</v>
      </c>
      <c r="W154" s="449">
        <f t="shared" si="58"/>
        <v>0</v>
      </c>
      <c r="X154" s="449">
        <f t="shared" si="58"/>
        <v>0</v>
      </c>
      <c r="Y154" s="449">
        <f t="shared" si="58"/>
        <v>0</v>
      </c>
      <c r="Z154" s="449">
        <f t="shared" si="58"/>
        <v>0</v>
      </c>
      <c r="AA154" s="449">
        <f t="shared" si="58"/>
        <v>0</v>
      </c>
      <c r="AB154" s="449">
        <f t="shared" si="58"/>
        <v>0</v>
      </c>
      <c r="AC154" s="449">
        <f t="shared" si="58"/>
        <v>0</v>
      </c>
      <c r="AD154" s="449">
        <f t="shared" si="58"/>
        <v>0</v>
      </c>
      <c r="AE154" s="449">
        <f t="shared" si="58"/>
        <v>0</v>
      </c>
      <c r="AF154" s="449">
        <f t="shared" si="58"/>
        <v>0</v>
      </c>
      <c r="AG154" s="449">
        <f t="shared" si="58"/>
        <v>0</v>
      </c>
      <c r="AH154" s="449">
        <f t="shared" si="58"/>
        <v>0</v>
      </c>
      <c r="AI154" s="449">
        <f t="shared" si="58"/>
        <v>0</v>
      </c>
      <c r="AJ154" s="449">
        <f t="shared" si="58"/>
        <v>0</v>
      </c>
      <c r="AK154" s="464">
        <f t="shared" ref="AK154:AK159" si="59">SUM(F154:AJ154)</f>
        <v>0</v>
      </c>
      <c r="AL154" s="462">
        <f>HLOOKUP(LEFT(Summary!D3,2),Actual!F66:AJ156,83,FALSE)</f>
        <v>0</v>
      </c>
    </row>
    <row r="155" spans="1:39" ht="15.75" hidden="1" customHeight="1">
      <c r="C155" s="988"/>
      <c r="D155" s="996"/>
      <c r="E155" s="446" t="s">
        <v>123</v>
      </c>
      <c r="F155" s="447">
        <v>0</v>
      </c>
      <c r="G155" s="447">
        <v>0</v>
      </c>
      <c r="H155" s="447">
        <v>0</v>
      </c>
      <c r="I155" s="447">
        <v>0</v>
      </c>
      <c r="J155" s="447">
        <v>0</v>
      </c>
      <c r="K155" s="447">
        <v>0</v>
      </c>
      <c r="L155" s="447">
        <v>0</v>
      </c>
      <c r="M155" s="447">
        <v>0</v>
      </c>
      <c r="N155" s="447">
        <v>0</v>
      </c>
      <c r="O155" s="447">
        <v>0</v>
      </c>
      <c r="P155" s="447">
        <v>0</v>
      </c>
      <c r="Q155" s="447">
        <v>0</v>
      </c>
      <c r="R155" s="447">
        <v>0</v>
      </c>
      <c r="S155" s="447">
        <v>0</v>
      </c>
      <c r="T155" s="447">
        <v>0</v>
      </c>
      <c r="U155" s="447">
        <v>0</v>
      </c>
      <c r="V155" s="447">
        <v>0</v>
      </c>
      <c r="W155" s="447">
        <v>0</v>
      </c>
      <c r="X155" s="447">
        <v>0</v>
      </c>
      <c r="Y155" s="447">
        <v>0</v>
      </c>
      <c r="Z155" s="447">
        <v>0</v>
      </c>
      <c r="AA155" s="447">
        <v>0</v>
      </c>
      <c r="AB155" s="447">
        <v>0</v>
      </c>
      <c r="AC155" s="447">
        <v>0</v>
      </c>
      <c r="AD155" s="447">
        <v>0</v>
      </c>
      <c r="AE155" s="447">
        <v>0</v>
      </c>
      <c r="AF155" s="447">
        <v>0</v>
      </c>
      <c r="AG155" s="530">
        <v>0</v>
      </c>
      <c r="AH155" s="447">
        <v>0</v>
      </c>
      <c r="AI155" s="447">
        <v>0</v>
      </c>
      <c r="AJ155" s="447">
        <v>0</v>
      </c>
      <c r="AK155" s="447">
        <f t="shared" si="59"/>
        <v>0</v>
      </c>
      <c r="AL155" s="463">
        <f>HLOOKUP(LEFT(Summary!D3,2),Actual!F66:AJ156,84,FALSE)</f>
        <v>0</v>
      </c>
    </row>
    <row r="156" spans="1:39" ht="15.75" hidden="1" customHeight="1">
      <c r="C156" s="989"/>
      <c r="D156" s="997"/>
      <c r="E156" s="480" t="s">
        <v>26</v>
      </c>
      <c r="F156" s="458">
        <v>0</v>
      </c>
      <c r="G156" s="458">
        <v>0</v>
      </c>
      <c r="H156" s="458">
        <v>0</v>
      </c>
      <c r="I156" s="458">
        <v>0</v>
      </c>
      <c r="J156" s="458">
        <v>0</v>
      </c>
      <c r="K156" s="458">
        <v>0</v>
      </c>
      <c r="L156" s="458">
        <v>0</v>
      </c>
      <c r="M156" s="458">
        <v>0</v>
      </c>
      <c r="N156" s="458">
        <v>0</v>
      </c>
      <c r="O156" s="458">
        <v>0</v>
      </c>
      <c r="P156" s="458">
        <v>0</v>
      </c>
      <c r="Q156" s="458">
        <v>0</v>
      </c>
      <c r="R156" s="458">
        <v>0</v>
      </c>
      <c r="S156" s="458">
        <v>0</v>
      </c>
      <c r="T156" s="458">
        <v>0</v>
      </c>
      <c r="U156" s="458">
        <v>0</v>
      </c>
      <c r="V156" s="458">
        <v>0</v>
      </c>
      <c r="W156" s="458">
        <v>0</v>
      </c>
      <c r="X156" s="458">
        <v>0</v>
      </c>
      <c r="Y156" s="458">
        <v>0</v>
      </c>
      <c r="Z156" s="458">
        <v>0</v>
      </c>
      <c r="AA156" s="458">
        <v>0</v>
      </c>
      <c r="AB156" s="458">
        <v>0</v>
      </c>
      <c r="AC156" s="458">
        <v>0</v>
      </c>
      <c r="AD156" s="458">
        <v>0</v>
      </c>
      <c r="AE156" s="458">
        <v>0</v>
      </c>
      <c r="AF156" s="458">
        <v>0</v>
      </c>
      <c r="AG156" s="458">
        <v>0</v>
      </c>
      <c r="AH156" s="458">
        <v>0</v>
      </c>
      <c r="AI156" s="458">
        <v>0</v>
      </c>
      <c r="AJ156" s="458">
        <v>0</v>
      </c>
      <c r="AK156" s="458">
        <f t="shared" si="59"/>
        <v>0</v>
      </c>
      <c r="AL156" s="476">
        <f>HLOOKUP(LEFT(Summary!D3,2),Actual!F66:AJ156,85,FALSE)</f>
        <v>0</v>
      </c>
    </row>
    <row r="157" spans="1:39" ht="16.5" customHeight="1">
      <c r="C157" s="991"/>
      <c r="D157" s="992"/>
      <c r="E157" s="481" t="s">
        <v>114</v>
      </c>
      <c r="F157" s="482">
        <f t="shared" ref="F157:AJ157" si="60">SUM(F67,F70,F73,F76,F79,F82,F85,F88,F94,F121,F136,F139,F142,F145,F148,F151,F154,F91,F97,F106,F103,F100,F118,F112,F109,F130,F133,F115,F124,F127)</f>
        <v>0</v>
      </c>
      <c r="G157" s="482">
        <f t="shared" si="60"/>
        <v>0</v>
      </c>
      <c r="H157" s="482">
        <f t="shared" si="60"/>
        <v>0</v>
      </c>
      <c r="I157" s="482">
        <f t="shared" si="60"/>
        <v>0</v>
      </c>
      <c r="J157" s="482">
        <f t="shared" si="60"/>
        <v>0</v>
      </c>
      <c r="K157" s="482">
        <f t="shared" si="60"/>
        <v>0</v>
      </c>
      <c r="L157" s="482">
        <f t="shared" si="60"/>
        <v>0</v>
      </c>
      <c r="M157" s="482">
        <f t="shared" si="60"/>
        <v>0</v>
      </c>
      <c r="N157" s="482">
        <f t="shared" si="60"/>
        <v>0</v>
      </c>
      <c r="O157" s="482">
        <f t="shared" si="60"/>
        <v>0</v>
      </c>
      <c r="P157" s="482">
        <f t="shared" si="60"/>
        <v>0</v>
      </c>
      <c r="Q157" s="526">
        <f t="shared" si="60"/>
        <v>0</v>
      </c>
      <c r="R157" s="526">
        <f t="shared" si="60"/>
        <v>0</v>
      </c>
      <c r="S157" s="526">
        <f t="shared" si="60"/>
        <v>0</v>
      </c>
      <c r="T157" s="526">
        <f t="shared" si="60"/>
        <v>0</v>
      </c>
      <c r="U157" s="526">
        <f t="shared" si="60"/>
        <v>0</v>
      </c>
      <c r="V157" s="526">
        <f t="shared" si="60"/>
        <v>0</v>
      </c>
      <c r="W157" s="526">
        <f t="shared" si="60"/>
        <v>0</v>
      </c>
      <c r="X157" s="526">
        <f t="shared" si="60"/>
        <v>0</v>
      </c>
      <c r="Y157" s="526">
        <f t="shared" si="60"/>
        <v>0</v>
      </c>
      <c r="Z157" s="482">
        <f t="shared" si="60"/>
        <v>0</v>
      </c>
      <c r="AA157" s="482">
        <f t="shared" si="60"/>
        <v>0</v>
      </c>
      <c r="AB157" s="526">
        <f t="shared" si="60"/>
        <v>0</v>
      </c>
      <c r="AC157" s="482">
        <f t="shared" si="60"/>
        <v>0</v>
      </c>
      <c r="AD157" s="482">
        <f t="shared" si="60"/>
        <v>0</v>
      </c>
      <c r="AE157" s="482">
        <f t="shared" si="60"/>
        <v>0</v>
      </c>
      <c r="AF157" s="482">
        <f t="shared" si="60"/>
        <v>0</v>
      </c>
      <c r="AG157" s="482">
        <f t="shared" si="60"/>
        <v>0</v>
      </c>
      <c r="AH157" s="482">
        <f t="shared" si="60"/>
        <v>0</v>
      </c>
      <c r="AI157" s="482">
        <f t="shared" si="60"/>
        <v>0</v>
      </c>
      <c r="AJ157" s="482">
        <f t="shared" si="60"/>
        <v>0</v>
      </c>
      <c r="AK157" s="531">
        <f t="shared" si="59"/>
        <v>0</v>
      </c>
      <c r="AL157" s="532">
        <f>SUM(AL67,AL70,AL73,AL79,AL82,AL85,AL94,AL130,AL121,AL136,AL139,AL142,AL145,AL97,AL100,AL103,AL106,AL109,AL133,AL112,AL118,AL91,AL88,AL104,AL105,AL148,AL151,AL154)</f>
        <v>0</v>
      </c>
      <c r="AM157" s="533">
        <f>HLOOKUP(LEFT(Summary!D3,2),Actual!F66:AL157,92,FALSE)</f>
        <v>0</v>
      </c>
    </row>
    <row r="158" spans="1:39" ht="15" customHeight="1">
      <c r="C158" s="483"/>
      <c r="D158" s="484"/>
      <c r="E158" s="485" t="s">
        <v>149</v>
      </c>
      <c r="F158" s="486">
        <f t="shared" ref="F158:AJ158" si="61">SUM(F68,F71,F74,F77,F80,F83,F86,F89,F95,F122,F137,F140,F143,F146,F149,F152,F155,F92,F98,F107,F101,F104,F119,F110,F113,F131,F134,F116,F125,F128)</f>
        <v>0</v>
      </c>
      <c r="G158" s="486">
        <f t="shared" si="61"/>
        <v>0</v>
      </c>
      <c r="H158" s="486">
        <f t="shared" si="61"/>
        <v>0</v>
      </c>
      <c r="I158" s="486">
        <f t="shared" si="61"/>
        <v>0</v>
      </c>
      <c r="J158" s="486">
        <f t="shared" si="61"/>
        <v>0</v>
      </c>
      <c r="K158" s="486">
        <f t="shared" si="61"/>
        <v>0</v>
      </c>
      <c r="L158" s="486">
        <f t="shared" si="61"/>
        <v>0</v>
      </c>
      <c r="M158" s="486">
        <f t="shared" si="61"/>
        <v>0</v>
      </c>
      <c r="N158" s="486">
        <f t="shared" si="61"/>
        <v>0</v>
      </c>
      <c r="O158" s="486">
        <f t="shared" si="61"/>
        <v>0</v>
      </c>
      <c r="P158" s="486">
        <f t="shared" si="61"/>
        <v>0</v>
      </c>
      <c r="Q158" s="486">
        <f t="shared" si="61"/>
        <v>0</v>
      </c>
      <c r="R158" s="486">
        <f t="shared" si="61"/>
        <v>0</v>
      </c>
      <c r="S158" s="486">
        <f t="shared" si="61"/>
        <v>0</v>
      </c>
      <c r="T158" s="486">
        <f t="shared" si="61"/>
        <v>0</v>
      </c>
      <c r="U158" s="486">
        <f t="shared" si="61"/>
        <v>0</v>
      </c>
      <c r="V158" s="486">
        <f t="shared" si="61"/>
        <v>0</v>
      </c>
      <c r="W158" s="486">
        <f t="shared" si="61"/>
        <v>0</v>
      </c>
      <c r="X158" s="486">
        <f t="shared" si="61"/>
        <v>0</v>
      </c>
      <c r="Y158" s="486">
        <f t="shared" si="61"/>
        <v>0</v>
      </c>
      <c r="Z158" s="486">
        <f t="shared" si="61"/>
        <v>0</v>
      </c>
      <c r="AA158" s="486">
        <f t="shared" si="61"/>
        <v>0</v>
      </c>
      <c r="AB158" s="486">
        <f t="shared" si="61"/>
        <v>0</v>
      </c>
      <c r="AC158" s="486">
        <f t="shared" si="61"/>
        <v>0</v>
      </c>
      <c r="AD158" s="486">
        <f t="shared" si="61"/>
        <v>0</v>
      </c>
      <c r="AE158" s="486">
        <f t="shared" si="61"/>
        <v>0</v>
      </c>
      <c r="AF158" s="486">
        <f t="shared" si="61"/>
        <v>0</v>
      </c>
      <c r="AG158" s="486">
        <f t="shared" si="61"/>
        <v>0</v>
      </c>
      <c r="AH158" s="486">
        <f t="shared" si="61"/>
        <v>0</v>
      </c>
      <c r="AI158" s="486">
        <f t="shared" si="61"/>
        <v>0</v>
      </c>
      <c r="AJ158" s="486">
        <f t="shared" si="61"/>
        <v>0</v>
      </c>
      <c r="AK158" s="486">
        <f t="shared" si="59"/>
        <v>0</v>
      </c>
      <c r="AL158" s="534">
        <f>SUM(AL68,AL71,AL74,AL80,AL83,AL86,AL89,AL92,AL95,AL122,AL137,AL140,AL143,AL146,AL149,AL152,AL134)</f>
        <v>0</v>
      </c>
    </row>
    <row r="159" spans="1:39" ht="15" customHeight="1">
      <c r="C159" s="487"/>
      <c r="D159" s="488"/>
      <c r="E159" s="489" t="s">
        <v>150</v>
      </c>
      <c r="F159" s="490">
        <f t="shared" ref="F159:AJ159" si="62">SUM(F69,F72,F75,F78,F81,F84,F87,F90,F96,F123,F138,F141,F144,F147,F150,F153,F156,F93,F99,F108,F102,F105,F120,F111,F114,F132,F135,F117,F126,F129)</f>
        <v>0</v>
      </c>
      <c r="G159" s="490">
        <f t="shared" si="62"/>
        <v>0</v>
      </c>
      <c r="H159" s="490">
        <f t="shared" si="62"/>
        <v>0</v>
      </c>
      <c r="I159" s="490">
        <f t="shared" si="62"/>
        <v>0</v>
      </c>
      <c r="J159" s="490">
        <f t="shared" si="62"/>
        <v>0</v>
      </c>
      <c r="K159" s="490">
        <f t="shared" si="62"/>
        <v>0</v>
      </c>
      <c r="L159" s="490">
        <f t="shared" si="62"/>
        <v>0</v>
      </c>
      <c r="M159" s="490">
        <f t="shared" si="62"/>
        <v>0</v>
      </c>
      <c r="N159" s="490">
        <f t="shared" si="62"/>
        <v>0</v>
      </c>
      <c r="O159" s="490">
        <f t="shared" si="62"/>
        <v>0</v>
      </c>
      <c r="P159" s="490">
        <f t="shared" si="62"/>
        <v>0</v>
      </c>
      <c r="Q159" s="490">
        <f t="shared" si="62"/>
        <v>0</v>
      </c>
      <c r="R159" s="490">
        <f t="shared" si="62"/>
        <v>0</v>
      </c>
      <c r="S159" s="490">
        <f t="shared" si="62"/>
        <v>0</v>
      </c>
      <c r="T159" s="490">
        <f t="shared" si="62"/>
        <v>0</v>
      </c>
      <c r="U159" s="490">
        <f t="shared" si="62"/>
        <v>0</v>
      </c>
      <c r="V159" s="490">
        <f t="shared" si="62"/>
        <v>0</v>
      </c>
      <c r="W159" s="490">
        <f t="shared" si="62"/>
        <v>0</v>
      </c>
      <c r="X159" s="490">
        <f t="shared" si="62"/>
        <v>0</v>
      </c>
      <c r="Y159" s="490">
        <f t="shared" si="62"/>
        <v>0</v>
      </c>
      <c r="Z159" s="490">
        <f t="shared" si="62"/>
        <v>0</v>
      </c>
      <c r="AA159" s="490">
        <f t="shared" si="62"/>
        <v>0</v>
      </c>
      <c r="AB159" s="490">
        <f t="shared" si="62"/>
        <v>0</v>
      </c>
      <c r="AC159" s="490">
        <f t="shared" si="62"/>
        <v>0</v>
      </c>
      <c r="AD159" s="490">
        <f t="shared" si="62"/>
        <v>0</v>
      </c>
      <c r="AE159" s="490">
        <f t="shared" si="62"/>
        <v>0</v>
      </c>
      <c r="AF159" s="490">
        <f t="shared" si="62"/>
        <v>0</v>
      </c>
      <c r="AG159" s="490">
        <f t="shared" si="62"/>
        <v>0</v>
      </c>
      <c r="AH159" s="490">
        <f t="shared" si="62"/>
        <v>0</v>
      </c>
      <c r="AI159" s="490">
        <f t="shared" si="62"/>
        <v>0</v>
      </c>
      <c r="AJ159" s="490">
        <f t="shared" si="62"/>
        <v>0</v>
      </c>
      <c r="AK159" s="535">
        <f t="shared" si="59"/>
        <v>0</v>
      </c>
      <c r="AL159" s="536">
        <f>SUM(AL69,AL72,AL75,AL81,AL84,AL87,AL90,AL93,AL96,AL123,AL138,AL141,AL144,AL147,AL150,AL153,AL135)</f>
        <v>0</v>
      </c>
    </row>
    <row r="160" spans="1:39" ht="15" customHeight="1">
      <c r="F160" s="219"/>
      <c r="G160" s="219"/>
      <c r="H160" s="219"/>
      <c r="I160" s="219"/>
      <c r="J160" s="219"/>
      <c r="K160" s="525"/>
      <c r="L160" s="219"/>
      <c r="M160" s="219"/>
      <c r="N160" s="219"/>
      <c r="O160" s="219"/>
      <c r="P160" s="219"/>
      <c r="Q160" s="219"/>
      <c r="R160" s="525"/>
      <c r="S160" s="525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  <c r="AD160" s="219"/>
    </row>
    <row r="161" spans="3:40" ht="15" hidden="1" customHeight="1">
      <c r="C161" s="491" t="str">
        <f>"*   Coal by Contractor "&amp;MID(C2,13,20)</f>
        <v>*   Coal by Contractor Sep'26</v>
      </c>
      <c r="D161" s="491"/>
    </row>
    <row r="162" spans="3:40" ht="15" hidden="1" customHeight="1">
      <c r="C162" s="357" t="s">
        <v>60</v>
      </c>
      <c r="D162" s="357"/>
      <c r="E162" s="492" t="s">
        <v>151</v>
      </c>
      <c r="F162" s="883" t="s">
        <v>61</v>
      </c>
      <c r="G162" s="883" t="s">
        <v>62</v>
      </c>
      <c r="H162" s="883" t="s">
        <v>63</v>
      </c>
      <c r="I162" s="883" t="s">
        <v>64</v>
      </c>
      <c r="J162" s="883" t="s">
        <v>65</v>
      </c>
      <c r="K162" s="883" t="s">
        <v>66</v>
      </c>
      <c r="L162" s="883" t="s">
        <v>67</v>
      </c>
      <c r="M162" s="883" t="s">
        <v>68</v>
      </c>
      <c r="N162" s="883" t="s">
        <v>69</v>
      </c>
      <c r="O162" s="883" t="s">
        <v>70</v>
      </c>
      <c r="P162" s="883" t="s">
        <v>71</v>
      </c>
      <c r="Q162" s="883" t="s">
        <v>72</v>
      </c>
      <c r="R162" s="883" t="s">
        <v>73</v>
      </c>
      <c r="S162" s="883" t="s">
        <v>74</v>
      </c>
      <c r="T162" s="883" t="s">
        <v>75</v>
      </c>
      <c r="U162" s="883" t="s">
        <v>76</v>
      </c>
      <c r="V162" s="883" t="s">
        <v>77</v>
      </c>
      <c r="W162" s="883" t="s">
        <v>78</v>
      </c>
      <c r="X162" s="883" t="s">
        <v>79</v>
      </c>
      <c r="Y162" s="883" t="s">
        <v>80</v>
      </c>
      <c r="Z162" s="883" t="s">
        <v>81</v>
      </c>
      <c r="AA162" s="883" t="s">
        <v>82</v>
      </c>
      <c r="AB162" s="883" t="s">
        <v>83</v>
      </c>
      <c r="AC162" s="883" t="s">
        <v>84</v>
      </c>
      <c r="AD162" s="883" t="s">
        <v>85</v>
      </c>
      <c r="AE162" s="883" t="s">
        <v>86</v>
      </c>
      <c r="AF162" s="883" t="s">
        <v>87</v>
      </c>
      <c r="AG162" s="883" t="s">
        <v>88</v>
      </c>
      <c r="AH162" s="883" t="s">
        <v>89</v>
      </c>
      <c r="AI162" s="883" t="s">
        <v>90</v>
      </c>
      <c r="AJ162" s="883" t="s">
        <v>91</v>
      </c>
      <c r="AK162" s="434" t="s">
        <v>92</v>
      </c>
      <c r="AL162" s="434" t="s">
        <v>152</v>
      </c>
    </row>
    <row r="163" spans="3:40" ht="15" hidden="1" customHeight="1">
      <c r="C163" s="990" t="s">
        <v>117</v>
      </c>
      <c r="D163" s="389"/>
      <c r="E163" s="361" t="s">
        <v>153</v>
      </c>
      <c r="F163" s="390" t="e">
        <f>#REF!+#REF!+#REF!+#REF!+#REF!</f>
        <v>#REF!</v>
      </c>
      <c r="G163" s="390" t="e">
        <f>#REF!+#REF!+#REF!+#REF!+#REF!</f>
        <v>#REF!</v>
      </c>
      <c r="H163" s="390" t="e">
        <f>#REF!+#REF!+#REF!+#REF!+#REF!</f>
        <v>#REF!</v>
      </c>
      <c r="I163" s="390" t="e">
        <f>#REF!+#REF!+#REF!+#REF!+#REF!</f>
        <v>#REF!</v>
      </c>
      <c r="J163" s="390" t="e">
        <f>#REF!+#REF!+#REF!+#REF!+#REF!</f>
        <v>#REF!</v>
      </c>
      <c r="K163" s="390" t="e">
        <f>#REF!+#REF!+#REF!+#REF!+#REF!</f>
        <v>#REF!</v>
      </c>
      <c r="L163" s="390" t="e">
        <f>#REF!+#REF!+#REF!+#REF!+#REF!</f>
        <v>#REF!</v>
      </c>
      <c r="M163" s="390" t="e">
        <f>#REF!+#REF!+#REF!+#REF!+#REF!</f>
        <v>#REF!</v>
      </c>
      <c r="N163" s="390" t="e">
        <f>#REF!+#REF!+#REF!+#REF!+#REF!</f>
        <v>#REF!</v>
      </c>
      <c r="O163" s="390" t="e">
        <f>#REF!+#REF!+#REF!+#REF!+#REF!</f>
        <v>#REF!</v>
      </c>
      <c r="P163" s="390" t="e">
        <f>#REF!+#REF!+#REF!+#REF!+#REF!</f>
        <v>#REF!</v>
      </c>
      <c r="Q163" s="390" t="e">
        <f>#REF!+#REF!+#REF!+#REF!+#REF!</f>
        <v>#REF!</v>
      </c>
      <c r="R163" s="390" t="e">
        <f>#REF!+#REF!+#REF!+#REF!+#REF!</f>
        <v>#REF!</v>
      </c>
      <c r="S163" s="390" t="e">
        <f>#REF!+#REF!+#REF!+#REF!+#REF!</f>
        <v>#REF!</v>
      </c>
      <c r="T163" s="390" t="e">
        <f>#REF!+#REF!+#REF!+#REF!+#REF!</f>
        <v>#REF!</v>
      </c>
      <c r="U163" s="390" t="e">
        <f>#REF!+#REF!+#REF!+#REF!+#REF!</f>
        <v>#REF!</v>
      </c>
      <c r="V163" s="390" t="e">
        <f>#REF!+#REF!+#REF!+#REF!+#REF!</f>
        <v>#REF!</v>
      </c>
      <c r="W163" s="390" t="e">
        <f>#REF!+#REF!+#REF!+#REF!+#REF!</f>
        <v>#REF!</v>
      </c>
      <c r="X163" s="390" t="e">
        <f>#REF!+#REF!+#REF!+#REF!+#REF!</f>
        <v>#REF!</v>
      </c>
      <c r="Y163" s="390" t="e">
        <f>#REF!+#REF!+#REF!+#REF!+#REF!</f>
        <v>#REF!</v>
      </c>
      <c r="Z163" s="390" t="e">
        <f>#REF!+#REF!+#REF!+#REF!+#REF!</f>
        <v>#REF!</v>
      </c>
      <c r="AA163" s="390" t="e">
        <f>#REF!+#REF!+#REF!+#REF!+#REF!</f>
        <v>#REF!</v>
      </c>
      <c r="AB163" s="390" t="e">
        <f>#REF!+#REF!+#REF!+#REF!+#REF!</f>
        <v>#REF!</v>
      </c>
      <c r="AC163" s="390" t="e">
        <f>#REF!+#REF!+#REF!+#REF!+#REF!</f>
        <v>#REF!</v>
      </c>
      <c r="AD163" s="390" t="e">
        <f>#REF!+#REF!+#REF!+#REF!+#REF!</f>
        <v>#REF!</v>
      </c>
      <c r="AE163" s="390" t="e">
        <f>#REF!+#REF!+#REF!+#REF!+#REF!</f>
        <v>#REF!</v>
      </c>
      <c r="AF163" s="390" t="e">
        <f>#REF!+#REF!+#REF!+#REF!+#REF!</f>
        <v>#REF!</v>
      </c>
      <c r="AG163" s="390" t="e">
        <f>#REF!+#REF!+#REF!+#REF!+#REF!</f>
        <v>#REF!</v>
      </c>
      <c r="AH163" s="390" t="e">
        <f>#REF!+#REF!+#REF!+#REF!+#REF!</f>
        <v>#REF!</v>
      </c>
      <c r="AI163" s="390" t="e">
        <f>#REF!+#REF!+#REF!+#REF!+#REF!</f>
        <v>#REF!</v>
      </c>
      <c r="AJ163" s="390" t="e">
        <f>#REF!+#REF!+#REF!+#REF!+#REF!</f>
        <v>#REF!</v>
      </c>
      <c r="AK163" s="397" t="e">
        <f t="shared" ref="AK163:AK168" si="63">SUM(F163:AJ163)</f>
        <v>#REF!</v>
      </c>
      <c r="AL163" s="949" t="e">
        <f>SUM(AK163:AK165)</f>
        <v>#REF!</v>
      </c>
    </row>
    <row r="164" spans="3:40" ht="15" hidden="1" customHeight="1">
      <c r="C164" s="990"/>
      <c r="D164" s="391"/>
      <c r="E164" s="364" t="s">
        <v>154</v>
      </c>
      <c r="F164" s="392" t="e">
        <f>#REF!+F67+F70</f>
        <v>#REF!</v>
      </c>
      <c r="G164" s="392" t="e">
        <f>#REF!+G67+G70</f>
        <v>#REF!</v>
      </c>
      <c r="H164" s="392" t="e">
        <f>#REF!+H67+H70</f>
        <v>#REF!</v>
      </c>
      <c r="I164" s="392" t="e">
        <f>#REF!+I67+I70</f>
        <v>#REF!</v>
      </c>
      <c r="J164" s="392" t="e">
        <f>#REF!+J67+J70</f>
        <v>#REF!</v>
      </c>
      <c r="K164" s="392" t="e">
        <f>#REF!+K67+K70</f>
        <v>#REF!</v>
      </c>
      <c r="L164" s="392" t="e">
        <f>#REF!+L67+L70</f>
        <v>#REF!</v>
      </c>
      <c r="M164" s="392" t="e">
        <f>#REF!+M67+M70</f>
        <v>#REF!</v>
      </c>
      <c r="N164" s="392" t="e">
        <f>#REF!+N67+N70</f>
        <v>#REF!</v>
      </c>
      <c r="O164" s="392" t="e">
        <f>#REF!+O67+O70</f>
        <v>#REF!</v>
      </c>
      <c r="P164" s="392" t="e">
        <f>#REF!+P67+P70</f>
        <v>#REF!</v>
      </c>
      <c r="Q164" s="392" t="e">
        <f>#REF!+Q67+Q70</f>
        <v>#REF!</v>
      </c>
      <c r="R164" s="392" t="e">
        <f>#REF!+R67+R70</f>
        <v>#REF!</v>
      </c>
      <c r="S164" s="392" t="e">
        <f>#REF!+S67+S70</f>
        <v>#REF!</v>
      </c>
      <c r="T164" s="392" t="e">
        <f>#REF!+T67+T70</f>
        <v>#REF!</v>
      </c>
      <c r="U164" s="392" t="e">
        <f>#REF!+U67+U70</f>
        <v>#REF!</v>
      </c>
      <c r="V164" s="392" t="e">
        <f>#REF!+V67+V70</f>
        <v>#REF!</v>
      </c>
      <c r="W164" s="392" t="e">
        <f>#REF!+W67+W70</f>
        <v>#REF!</v>
      </c>
      <c r="X164" s="392" t="e">
        <f>#REF!+X67+X70</f>
        <v>#REF!</v>
      </c>
      <c r="Y164" s="392" t="e">
        <f>#REF!+Y67+Y70</f>
        <v>#REF!</v>
      </c>
      <c r="Z164" s="392" t="e">
        <f>#REF!+Z67+Z70</f>
        <v>#REF!</v>
      </c>
      <c r="AA164" s="392" t="e">
        <f>#REF!+AA67+AA70</f>
        <v>#REF!</v>
      </c>
      <c r="AB164" s="392" t="e">
        <f>#REF!+AB67+AB70</f>
        <v>#REF!</v>
      </c>
      <c r="AC164" s="392" t="e">
        <f>#REF!+AC67+AC70</f>
        <v>#REF!</v>
      </c>
      <c r="AD164" s="392" t="e">
        <f>#REF!+AD67+AD70</f>
        <v>#REF!</v>
      </c>
      <c r="AE164" s="392" t="e">
        <f>#REF!+AE67+AE70</f>
        <v>#REF!</v>
      </c>
      <c r="AF164" s="392" t="e">
        <f>#REF!+AF67+AF70</f>
        <v>#REF!</v>
      </c>
      <c r="AG164" s="392" t="e">
        <f>#REF!+AG67+AG70</f>
        <v>#REF!</v>
      </c>
      <c r="AH164" s="392" t="e">
        <f>#REF!+AH67+AH70</f>
        <v>#REF!</v>
      </c>
      <c r="AI164" s="392" t="e">
        <f>#REF!+AI67+AI70</f>
        <v>#REF!</v>
      </c>
      <c r="AJ164" s="392" t="e">
        <f>#REF!+AJ67+AJ70</f>
        <v>#REF!</v>
      </c>
      <c r="AK164" s="392" t="e">
        <f t="shared" si="63"/>
        <v>#REF!</v>
      </c>
      <c r="AL164" s="950"/>
    </row>
    <row r="165" spans="3:40" ht="15" hidden="1" customHeight="1">
      <c r="C165" s="990"/>
      <c r="D165" s="391"/>
      <c r="E165" s="364" t="s">
        <v>155</v>
      </c>
      <c r="F165" s="493" t="e">
        <f>F85+F88+F94+#REF!</f>
        <v>#REF!</v>
      </c>
      <c r="G165" s="493" t="e">
        <f>G85+G88+G94+#REF!</f>
        <v>#REF!</v>
      </c>
      <c r="H165" s="493" t="e">
        <f>H85+H88+H94+#REF!</f>
        <v>#REF!</v>
      </c>
      <c r="I165" s="493" t="e">
        <f>I85+I88+I94+#REF!</f>
        <v>#REF!</v>
      </c>
      <c r="J165" s="493" t="e">
        <f>J85+J88+J94+#REF!</f>
        <v>#REF!</v>
      </c>
      <c r="K165" s="493" t="e">
        <f>K85+K88+K94+#REF!</f>
        <v>#REF!</v>
      </c>
      <c r="L165" s="493" t="e">
        <f>L85+L88+L94+#REF!</f>
        <v>#REF!</v>
      </c>
      <c r="M165" s="493" t="e">
        <f>M85+M88+M94+#REF!</f>
        <v>#REF!</v>
      </c>
      <c r="N165" s="493" t="e">
        <f>N85+N88+N94+#REF!</f>
        <v>#REF!</v>
      </c>
      <c r="O165" s="493" t="e">
        <f>O85+O88+O94+#REF!</f>
        <v>#REF!</v>
      </c>
      <c r="P165" s="493" t="e">
        <f>P85+P88+P94+#REF!</f>
        <v>#REF!</v>
      </c>
      <c r="Q165" s="493" t="e">
        <f>Q85+Q88+Q94+#REF!</f>
        <v>#REF!</v>
      </c>
      <c r="R165" s="493" t="e">
        <f>R85+R88+R94+#REF!</f>
        <v>#REF!</v>
      </c>
      <c r="S165" s="493" t="e">
        <f>S85+S88+S94+#REF!</f>
        <v>#REF!</v>
      </c>
      <c r="T165" s="493" t="e">
        <f>T85+T88+T94+#REF!</f>
        <v>#REF!</v>
      </c>
      <c r="U165" s="493" t="e">
        <f>U85+U88+U94+#REF!</f>
        <v>#REF!</v>
      </c>
      <c r="V165" s="493" t="e">
        <f>V85+V88+V94+#REF!</f>
        <v>#REF!</v>
      </c>
      <c r="W165" s="493" t="e">
        <f>W85+W88+W94+#REF!</f>
        <v>#REF!</v>
      </c>
      <c r="X165" s="493" t="e">
        <f>X85+X88+X94+#REF!</f>
        <v>#REF!</v>
      </c>
      <c r="Y165" s="493" t="e">
        <f>Y85+Y88+Y94+#REF!</f>
        <v>#REF!</v>
      </c>
      <c r="Z165" s="493" t="e">
        <f>Z85+Z88+Z94+#REF!</f>
        <v>#REF!</v>
      </c>
      <c r="AA165" s="493" t="e">
        <f>AA85+AA88+AA94+#REF!</f>
        <v>#REF!</v>
      </c>
      <c r="AB165" s="493" t="e">
        <f>AB85+AB88+AB94+#REF!</f>
        <v>#REF!</v>
      </c>
      <c r="AC165" s="493" t="e">
        <f>AC85+AC88+AC94+#REF!</f>
        <v>#REF!</v>
      </c>
      <c r="AD165" s="493" t="e">
        <f>AD85+AD88+AD94+#REF!</f>
        <v>#REF!</v>
      </c>
      <c r="AE165" s="493" t="e">
        <f>AE85+AE88+AE94+#REF!</f>
        <v>#REF!</v>
      </c>
      <c r="AF165" s="493" t="e">
        <f>AF85+AF88+AF94+#REF!</f>
        <v>#REF!</v>
      </c>
      <c r="AG165" s="493" t="e">
        <f>AG85+AG88+AG94+#REF!</f>
        <v>#REF!</v>
      </c>
      <c r="AH165" s="493" t="e">
        <f>AH85+AH88+AH94+#REF!</f>
        <v>#REF!</v>
      </c>
      <c r="AI165" s="493" t="e">
        <f>AI85+AI88+AI94+#REF!</f>
        <v>#REF!</v>
      </c>
      <c r="AJ165" s="493" t="e">
        <f>AJ85+AJ88+AJ94+#REF!</f>
        <v>#REF!</v>
      </c>
      <c r="AK165" s="493" t="e">
        <f t="shared" si="63"/>
        <v>#REF!</v>
      </c>
      <c r="AL165" s="951"/>
    </row>
    <row r="166" spans="3:40" ht="14.25" hidden="1" customHeight="1">
      <c r="C166" s="990" t="s">
        <v>118</v>
      </c>
      <c r="D166" s="389"/>
      <c r="E166" s="361" t="s">
        <v>99</v>
      </c>
      <c r="F166" s="397" t="e">
        <f>#REF!+#REF!+#REF!</f>
        <v>#REF!</v>
      </c>
      <c r="G166" s="397" t="e">
        <f>#REF!+#REF!+#REF!</f>
        <v>#REF!</v>
      </c>
      <c r="H166" s="397" t="e">
        <f>#REF!+#REF!+#REF!</f>
        <v>#REF!</v>
      </c>
      <c r="I166" s="397" t="e">
        <f>#REF!+#REF!+#REF!</f>
        <v>#REF!</v>
      </c>
      <c r="J166" s="397" t="e">
        <f>#REF!+#REF!+#REF!</f>
        <v>#REF!</v>
      </c>
      <c r="K166" s="397" t="e">
        <f>#REF!+#REF!+#REF!</f>
        <v>#REF!</v>
      </c>
      <c r="L166" s="397" t="e">
        <f>#REF!+#REF!+#REF!</f>
        <v>#REF!</v>
      </c>
      <c r="M166" s="397" t="e">
        <f>#REF!+#REF!+#REF!</f>
        <v>#REF!</v>
      </c>
      <c r="N166" s="397" t="e">
        <f>#REF!+#REF!+#REF!</f>
        <v>#REF!</v>
      </c>
      <c r="O166" s="397" t="e">
        <f>#REF!+#REF!+#REF!</f>
        <v>#REF!</v>
      </c>
      <c r="P166" s="397" t="e">
        <f>#REF!+#REF!+#REF!</f>
        <v>#REF!</v>
      </c>
      <c r="Q166" s="397" t="e">
        <f>#REF!+#REF!+#REF!</f>
        <v>#REF!</v>
      </c>
      <c r="R166" s="397" t="e">
        <f>#REF!+#REF!+#REF!</f>
        <v>#REF!</v>
      </c>
      <c r="S166" s="397" t="e">
        <f>#REF!+#REF!+#REF!</f>
        <v>#REF!</v>
      </c>
      <c r="T166" s="397" t="e">
        <f>#REF!+#REF!+#REF!</f>
        <v>#REF!</v>
      </c>
      <c r="U166" s="397" t="e">
        <f>#REF!+#REF!+#REF!</f>
        <v>#REF!</v>
      </c>
      <c r="V166" s="397" t="e">
        <f>#REF!+#REF!+#REF!</f>
        <v>#REF!</v>
      </c>
      <c r="W166" s="397" t="e">
        <f>#REF!+#REF!+#REF!</f>
        <v>#REF!</v>
      </c>
      <c r="X166" s="397" t="e">
        <f>#REF!+#REF!+#REF!</f>
        <v>#REF!</v>
      </c>
      <c r="Y166" s="397" t="e">
        <f>#REF!+#REF!+#REF!</f>
        <v>#REF!</v>
      </c>
      <c r="Z166" s="397" t="e">
        <f>#REF!+#REF!+#REF!</f>
        <v>#REF!</v>
      </c>
      <c r="AA166" s="397" t="e">
        <f>#REF!+#REF!+#REF!</f>
        <v>#REF!</v>
      </c>
      <c r="AB166" s="397" t="e">
        <f>#REF!+#REF!+#REF!</f>
        <v>#REF!</v>
      </c>
      <c r="AC166" s="397" t="e">
        <f>#REF!+#REF!+#REF!</f>
        <v>#REF!</v>
      </c>
      <c r="AD166" s="397" t="e">
        <f>#REF!+#REF!+#REF!</f>
        <v>#REF!</v>
      </c>
      <c r="AE166" s="397" t="e">
        <f>#REF!+#REF!+#REF!</f>
        <v>#REF!</v>
      </c>
      <c r="AF166" s="397" t="e">
        <f>#REF!+#REF!+#REF!</f>
        <v>#REF!</v>
      </c>
      <c r="AG166" s="397" t="e">
        <f>#REF!+#REF!+#REF!</f>
        <v>#REF!</v>
      </c>
      <c r="AH166" s="397" t="e">
        <f>#REF!+#REF!+#REF!</f>
        <v>#REF!</v>
      </c>
      <c r="AI166" s="397" t="e">
        <f>#REF!+#REF!+#REF!</f>
        <v>#REF!</v>
      </c>
      <c r="AJ166" s="397" t="e">
        <f>#REF!+#REF!+#REF!</f>
        <v>#REF!</v>
      </c>
      <c r="AK166" s="397" t="e">
        <f t="shared" si="63"/>
        <v>#REF!</v>
      </c>
      <c r="AL166" s="949" t="e">
        <f>SUM(AK166:AK168)</f>
        <v>#REF!</v>
      </c>
    </row>
    <row r="167" spans="3:40" ht="14.25" hidden="1" customHeight="1">
      <c r="C167" s="990"/>
      <c r="D167" s="391"/>
      <c r="E167" s="364" t="s">
        <v>156</v>
      </c>
      <c r="F167" s="392"/>
      <c r="G167" s="392"/>
      <c r="H167" s="392"/>
      <c r="I167" s="392"/>
      <c r="J167" s="392"/>
      <c r="K167" s="392"/>
      <c r="L167" s="392"/>
      <c r="M167" s="392"/>
      <c r="N167" s="392"/>
      <c r="O167" s="392"/>
      <c r="P167" s="392"/>
      <c r="Q167" s="392"/>
      <c r="R167" s="392"/>
      <c r="S167" s="392"/>
      <c r="T167" s="392"/>
      <c r="U167" s="392"/>
      <c r="V167" s="392"/>
      <c r="W167" s="392"/>
      <c r="X167" s="392"/>
      <c r="Y167" s="392"/>
      <c r="Z167" s="392"/>
      <c r="AA167" s="392"/>
      <c r="AB167" s="392"/>
      <c r="AC167" s="392"/>
      <c r="AD167" s="392"/>
      <c r="AE167" s="392"/>
      <c r="AF167" s="392"/>
      <c r="AG167" s="392"/>
      <c r="AH167" s="392"/>
      <c r="AI167" s="392"/>
      <c r="AJ167" s="392"/>
      <c r="AK167" s="392">
        <f t="shared" si="63"/>
        <v>0</v>
      </c>
      <c r="AL167" s="950"/>
    </row>
    <row r="168" spans="3:40" ht="14.25" hidden="1" customHeight="1">
      <c r="C168" s="990"/>
      <c r="D168" s="394"/>
      <c r="E168" s="494" t="s">
        <v>157</v>
      </c>
      <c r="F168" s="493"/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3"/>
      <c r="V168" s="493"/>
      <c r="W168" s="493"/>
      <c r="X168" s="493"/>
      <c r="Y168" s="493"/>
      <c r="Z168" s="493"/>
      <c r="AA168" s="493"/>
      <c r="AB168" s="493"/>
      <c r="AC168" s="493"/>
      <c r="AD168" s="493"/>
      <c r="AE168" s="493"/>
      <c r="AF168" s="493"/>
      <c r="AG168" s="493"/>
      <c r="AH168" s="493"/>
      <c r="AI168" s="493"/>
      <c r="AJ168" s="493"/>
      <c r="AK168" s="493">
        <f t="shared" si="63"/>
        <v>0</v>
      </c>
      <c r="AL168" s="951"/>
    </row>
    <row r="169" spans="3:40" ht="14.25" hidden="1" customHeight="1">
      <c r="AC169" s="221"/>
    </row>
    <row r="170" spans="3:40" ht="14.25" customHeight="1">
      <c r="C170" s="495"/>
      <c r="D170" s="495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  <c r="AB170" s="219"/>
      <c r="AC170" s="219"/>
      <c r="AD170" s="219"/>
      <c r="AG170" s="235"/>
      <c r="AH170" s="235"/>
      <c r="AI170" s="221"/>
      <c r="AN170" s="219"/>
    </row>
    <row r="171" spans="3:40" ht="14.25" customHeight="1">
      <c r="C171" s="388" t="str">
        <f>"3. Summary  "&amp;MID(C2,13,20)</f>
        <v>3. Summary  Sep'26</v>
      </c>
      <c r="D171" s="388"/>
    </row>
    <row r="172" spans="3:40" ht="14.25" customHeight="1">
      <c r="C172" s="443" t="s">
        <v>60</v>
      </c>
      <c r="D172" s="993">
        <f>E3</f>
        <v>30</v>
      </c>
      <c r="E172" s="994"/>
      <c r="F172" s="883" t="s">
        <v>61</v>
      </c>
      <c r="G172" s="883" t="s">
        <v>62</v>
      </c>
      <c r="H172" s="883" t="s">
        <v>63</v>
      </c>
      <c r="I172" s="883" t="s">
        <v>64</v>
      </c>
      <c r="J172" s="883" t="s">
        <v>65</v>
      </c>
      <c r="K172" s="883" t="s">
        <v>66</v>
      </c>
      <c r="L172" s="883" t="s">
        <v>67</v>
      </c>
      <c r="M172" s="883" t="s">
        <v>68</v>
      </c>
      <c r="N172" s="883" t="s">
        <v>69</v>
      </c>
      <c r="O172" s="883" t="s">
        <v>70</v>
      </c>
      <c r="P172" s="883" t="s">
        <v>71</v>
      </c>
      <c r="Q172" s="883" t="s">
        <v>72</v>
      </c>
      <c r="R172" s="883" t="s">
        <v>73</v>
      </c>
      <c r="S172" s="883" t="s">
        <v>74</v>
      </c>
      <c r="T172" s="883" t="s">
        <v>75</v>
      </c>
      <c r="U172" s="883" t="s">
        <v>76</v>
      </c>
      <c r="V172" s="883" t="s">
        <v>77</v>
      </c>
      <c r="W172" s="883" t="s">
        <v>78</v>
      </c>
      <c r="X172" s="883" t="s">
        <v>79</v>
      </c>
      <c r="Y172" s="883" t="s">
        <v>80</v>
      </c>
      <c r="Z172" s="883" t="s">
        <v>81</v>
      </c>
      <c r="AA172" s="883" t="s">
        <v>82</v>
      </c>
      <c r="AB172" s="883" t="s">
        <v>83</v>
      </c>
      <c r="AC172" s="883" t="s">
        <v>84</v>
      </c>
      <c r="AD172" s="883" t="s">
        <v>85</v>
      </c>
      <c r="AE172" s="883" t="s">
        <v>86</v>
      </c>
      <c r="AF172" s="883" t="s">
        <v>87</v>
      </c>
      <c r="AG172" s="883" t="s">
        <v>88</v>
      </c>
      <c r="AH172" s="883" t="s">
        <v>89</v>
      </c>
      <c r="AI172" s="883" t="s">
        <v>90</v>
      </c>
      <c r="AJ172" s="883" t="s">
        <v>91</v>
      </c>
      <c r="AK172" s="359" t="s">
        <v>105</v>
      </c>
    </row>
    <row r="173" spans="3:40" ht="14.25" hidden="1" customHeight="1">
      <c r="C173" s="496" t="s">
        <v>117</v>
      </c>
      <c r="D173" s="496"/>
      <c r="E173" s="479" t="s">
        <v>153</v>
      </c>
      <c r="F173" s="497"/>
      <c r="G173" s="497"/>
      <c r="H173" s="497"/>
      <c r="I173" s="497"/>
      <c r="J173" s="497"/>
      <c r="K173" s="497"/>
      <c r="L173" s="497"/>
      <c r="M173" s="497"/>
      <c r="N173" s="497"/>
      <c r="O173" s="497"/>
      <c r="P173" s="497"/>
      <c r="Q173" s="497"/>
      <c r="R173" s="497"/>
      <c r="S173" s="497"/>
      <c r="T173" s="497"/>
      <c r="U173" s="497"/>
      <c r="V173" s="497"/>
      <c r="W173" s="497"/>
      <c r="X173" s="497"/>
      <c r="Y173" s="497"/>
      <c r="Z173" s="497"/>
      <c r="AA173" s="497"/>
      <c r="AB173" s="497"/>
      <c r="AC173" s="497"/>
      <c r="AD173" s="497"/>
      <c r="AE173" s="497"/>
      <c r="AF173" s="497"/>
      <c r="AG173" s="497"/>
      <c r="AH173" s="497"/>
      <c r="AI173" s="497"/>
      <c r="AJ173" s="497"/>
      <c r="AK173" s="497"/>
    </row>
    <row r="174" spans="3:40" ht="14.25" hidden="1" customHeight="1">
      <c r="C174" s="496"/>
      <c r="D174" s="496"/>
      <c r="E174" s="498" t="s">
        <v>22</v>
      </c>
      <c r="F174" s="499">
        <f t="shared" ref="F174:AJ174" si="64">SUM(F4,F5,F6)</f>
        <v>0</v>
      </c>
      <c r="G174" s="499">
        <f t="shared" si="64"/>
        <v>0</v>
      </c>
      <c r="H174" s="499">
        <f t="shared" si="64"/>
        <v>0</v>
      </c>
      <c r="I174" s="499">
        <f t="shared" si="64"/>
        <v>0</v>
      </c>
      <c r="J174" s="499">
        <f t="shared" si="64"/>
        <v>0</v>
      </c>
      <c r="K174" s="499">
        <f t="shared" si="64"/>
        <v>0</v>
      </c>
      <c r="L174" s="499">
        <f t="shared" si="64"/>
        <v>0</v>
      </c>
      <c r="M174" s="499">
        <f t="shared" si="64"/>
        <v>0</v>
      </c>
      <c r="N174" s="499">
        <f t="shared" si="64"/>
        <v>0</v>
      </c>
      <c r="O174" s="499">
        <f t="shared" si="64"/>
        <v>0</v>
      </c>
      <c r="P174" s="499">
        <f t="shared" si="64"/>
        <v>0</v>
      </c>
      <c r="Q174" s="499">
        <f t="shared" si="64"/>
        <v>0</v>
      </c>
      <c r="R174" s="499">
        <f t="shared" si="64"/>
        <v>0</v>
      </c>
      <c r="S174" s="499">
        <f t="shared" si="64"/>
        <v>0</v>
      </c>
      <c r="T174" s="499">
        <f t="shared" si="64"/>
        <v>0</v>
      </c>
      <c r="U174" s="499">
        <f t="shared" si="64"/>
        <v>0</v>
      </c>
      <c r="V174" s="499">
        <f t="shared" si="64"/>
        <v>0</v>
      </c>
      <c r="W174" s="499">
        <f t="shared" si="64"/>
        <v>0</v>
      </c>
      <c r="X174" s="499">
        <f t="shared" si="64"/>
        <v>0</v>
      </c>
      <c r="Y174" s="499">
        <f t="shared" si="64"/>
        <v>0</v>
      </c>
      <c r="Z174" s="499">
        <f t="shared" si="64"/>
        <v>0</v>
      </c>
      <c r="AA174" s="499">
        <f t="shared" si="64"/>
        <v>0</v>
      </c>
      <c r="AB174" s="499">
        <f t="shared" si="64"/>
        <v>0</v>
      </c>
      <c r="AC174" s="499">
        <f t="shared" si="64"/>
        <v>0</v>
      </c>
      <c r="AD174" s="499">
        <f t="shared" si="64"/>
        <v>0</v>
      </c>
      <c r="AE174" s="499">
        <f t="shared" si="64"/>
        <v>0</v>
      </c>
      <c r="AF174" s="499">
        <f t="shared" si="64"/>
        <v>0</v>
      </c>
      <c r="AG174" s="499">
        <f t="shared" si="64"/>
        <v>0</v>
      </c>
      <c r="AH174" s="499">
        <f t="shared" si="64"/>
        <v>0</v>
      </c>
      <c r="AI174" s="499">
        <f t="shared" si="64"/>
        <v>0</v>
      </c>
      <c r="AJ174" s="499">
        <f t="shared" si="64"/>
        <v>0</v>
      </c>
      <c r="AK174" s="499">
        <f>SUM(F174:AJ174)</f>
        <v>0</v>
      </c>
    </row>
    <row r="175" spans="3:40" ht="14.25" hidden="1" customHeight="1">
      <c r="C175" s="496"/>
      <c r="D175" s="496"/>
      <c r="E175" s="500" t="s">
        <v>151</v>
      </c>
      <c r="F175" s="501">
        <v>0</v>
      </c>
      <c r="G175" s="501">
        <v>0</v>
      </c>
      <c r="H175" s="501">
        <v>0</v>
      </c>
      <c r="I175" s="501">
        <v>0</v>
      </c>
      <c r="J175" s="501">
        <v>0</v>
      </c>
      <c r="K175" s="501">
        <v>0</v>
      </c>
      <c r="L175" s="501">
        <v>0</v>
      </c>
      <c r="M175" s="501">
        <v>0</v>
      </c>
      <c r="N175" s="501">
        <v>0</v>
      </c>
      <c r="O175" s="501">
        <v>0</v>
      </c>
      <c r="P175" s="501">
        <v>0</v>
      </c>
      <c r="Q175" s="501">
        <v>0</v>
      </c>
      <c r="R175" s="501">
        <v>0</v>
      </c>
      <c r="S175" s="501">
        <v>0</v>
      </c>
      <c r="T175" s="501">
        <v>0</v>
      </c>
      <c r="U175" s="501">
        <v>0</v>
      </c>
      <c r="V175" s="501">
        <v>0</v>
      </c>
      <c r="W175" s="501">
        <v>0</v>
      </c>
      <c r="X175" s="501">
        <v>0</v>
      </c>
      <c r="Y175" s="501">
        <v>0</v>
      </c>
      <c r="Z175" s="501">
        <v>0</v>
      </c>
      <c r="AA175" s="501">
        <v>0</v>
      </c>
      <c r="AB175" s="501">
        <v>0</v>
      </c>
      <c r="AC175" s="501">
        <v>0</v>
      </c>
      <c r="AD175" s="501">
        <v>0</v>
      </c>
      <c r="AE175" s="501">
        <v>0</v>
      </c>
      <c r="AF175" s="501">
        <v>0</v>
      </c>
      <c r="AG175" s="501">
        <v>0</v>
      </c>
      <c r="AH175" s="501">
        <v>0</v>
      </c>
      <c r="AI175" s="501">
        <v>0</v>
      </c>
      <c r="AJ175" s="501">
        <v>0</v>
      </c>
      <c r="AK175" s="501">
        <f>SUM(F175:AJ175)</f>
        <v>0</v>
      </c>
    </row>
    <row r="176" spans="3:40" ht="14.25" hidden="1" customHeight="1">
      <c r="C176" s="496"/>
      <c r="D176" s="496"/>
      <c r="E176" s="502" t="s">
        <v>12</v>
      </c>
      <c r="F176" s="503">
        <v>0</v>
      </c>
      <c r="G176" s="503">
        <v>0</v>
      </c>
      <c r="H176" s="503">
        <v>0</v>
      </c>
      <c r="I176" s="503">
        <v>0</v>
      </c>
      <c r="J176" s="503">
        <v>0</v>
      </c>
      <c r="K176" s="503">
        <v>0</v>
      </c>
      <c r="L176" s="503">
        <v>0</v>
      </c>
      <c r="M176" s="503">
        <v>0</v>
      </c>
      <c r="N176" s="503">
        <v>0</v>
      </c>
      <c r="O176" s="503">
        <v>0</v>
      </c>
      <c r="P176" s="503">
        <v>0</v>
      </c>
      <c r="Q176" s="503">
        <v>0</v>
      </c>
      <c r="R176" s="503">
        <v>0</v>
      </c>
      <c r="S176" s="503">
        <v>0</v>
      </c>
      <c r="T176" s="503">
        <v>0</v>
      </c>
      <c r="U176" s="503">
        <v>0</v>
      </c>
      <c r="V176" s="503">
        <v>0</v>
      </c>
      <c r="W176" s="503">
        <v>0</v>
      </c>
      <c r="X176" s="503">
        <v>0</v>
      </c>
      <c r="Y176" s="503">
        <v>0</v>
      </c>
      <c r="Z176" s="503">
        <v>0</v>
      </c>
      <c r="AA176" s="503">
        <v>0</v>
      </c>
      <c r="AB176" s="503">
        <v>0</v>
      </c>
      <c r="AC176" s="503">
        <v>0</v>
      </c>
      <c r="AD176" s="503">
        <v>0</v>
      </c>
      <c r="AE176" s="503">
        <v>0</v>
      </c>
      <c r="AF176" s="503">
        <v>0</v>
      </c>
      <c r="AG176" s="503">
        <v>0</v>
      </c>
      <c r="AH176" s="503">
        <v>0</v>
      </c>
      <c r="AI176" s="503">
        <v>0</v>
      </c>
      <c r="AJ176" s="503">
        <v>0</v>
      </c>
      <c r="AK176" s="503">
        <f>IF(OR(AK174=0,AK175=0),0,AK174/AK175)</f>
        <v>0</v>
      </c>
    </row>
    <row r="177" spans="3:37" ht="14.25" hidden="1" customHeight="1">
      <c r="C177" s="496"/>
      <c r="D177" s="496"/>
      <c r="E177" s="479" t="s">
        <v>99</v>
      </c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04"/>
      <c r="Y177" s="504"/>
      <c r="Z177" s="504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</row>
    <row r="178" spans="3:37" ht="14.25" hidden="1" customHeight="1">
      <c r="C178" s="496"/>
      <c r="D178" s="496"/>
      <c r="E178" s="498" t="s">
        <v>22</v>
      </c>
      <c r="F178" s="505">
        <v>0</v>
      </c>
      <c r="G178" s="505">
        <v>0</v>
      </c>
      <c r="H178" s="505">
        <v>0</v>
      </c>
      <c r="I178" s="505">
        <v>0</v>
      </c>
      <c r="J178" s="505">
        <v>0</v>
      </c>
      <c r="K178" s="505">
        <v>0</v>
      </c>
      <c r="L178" s="505">
        <v>0</v>
      </c>
      <c r="M178" s="505">
        <v>0</v>
      </c>
      <c r="N178" s="505">
        <v>0</v>
      </c>
      <c r="O178" s="505">
        <v>0</v>
      </c>
      <c r="P178" s="505">
        <v>0</v>
      </c>
      <c r="Q178" s="505">
        <v>0</v>
      </c>
      <c r="R178" s="505">
        <v>0</v>
      </c>
      <c r="S178" s="505">
        <v>0</v>
      </c>
      <c r="T178" s="505">
        <v>0</v>
      </c>
      <c r="U178" s="505">
        <v>0</v>
      </c>
      <c r="V178" s="505">
        <v>0</v>
      </c>
      <c r="W178" s="505">
        <v>0</v>
      </c>
      <c r="X178" s="505">
        <v>0</v>
      </c>
      <c r="Y178" s="505">
        <v>0</v>
      </c>
      <c r="Z178" s="505">
        <v>0</v>
      </c>
      <c r="AA178" s="505">
        <v>0</v>
      </c>
      <c r="AB178" s="505">
        <v>0</v>
      </c>
      <c r="AC178" s="505">
        <v>0</v>
      </c>
      <c r="AD178" s="505">
        <v>0</v>
      </c>
      <c r="AE178" s="505">
        <v>0</v>
      </c>
      <c r="AF178" s="505">
        <v>0</v>
      </c>
      <c r="AG178" s="505">
        <v>0</v>
      </c>
      <c r="AH178" s="505">
        <v>0</v>
      </c>
      <c r="AI178" s="505">
        <v>0</v>
      </c>
      <c r="AJ178" s="505">
        <v>0</v>
      </c>
      <c r="AK178" s="505">
        <f>SUM(F178:AJ178)</f>
        <v>0</v>
      </c>
    </row>
    <row r="179" spans="3:37" ht="14.25" hidden="1" customHeight="1">
      <c r="C179" s="496"/>
      <c r="D179" s="496"/>
      <c r="E179" s="500" t="s">
        <v>151</v>
      </c>
      <c r="F179" s="506">
        <v>0</v>
      </c>
      <c r="G179" s="506">
        <v>0</v>
      </c>
      <c r="H179" s="506">
        <v>0</v>
      </c>
      <c r="I179" s="506">
        <v>0</v>
      </c>
      <c r="J179" s="506">
        <v>0</v>
      </c>
      <c r="K179" s="506">
        <v>0</v>
      </c>
      <c r="L179" s="506">
        <v>0</v>
      </c>
      <c r="M179" s="506">
        <v>0</v>
      </c>
      <c r="N179" s="506">
        <v>0</v>
      </c>
      <c r="O179" s="506">
        <v>0</v>
      </c>
      <c r="P179" s="506">
        <v>0</v>
      </c>
      <c r="Q179" s="506">
        <v>0</v>
      </c>
      <c r="R179" s="506">
        <v>0</v>
      </c>
      <c r="S179" s="506">
        <v>0</v>
      </c>
      <c r="T179" s="506">
        <v>0</v>
      </c>
      <c r="U179" s="506">
        <v>0</v>
      </c>
      <c r="V179" s="506">
        <v>0</v>
      </c>
      <c r="W179" s="506">
        <v>0</v>
      </c>
      <c r="X179" s="506">
        <v>0</v>
      </c>
      <c r="Y179" s="506">
        <v>0</v>
      </c>
      <c r="Z179" s="506">
        <v>0</v>
      </c>
      <c r="AA179" s="506">
        <v>0</v>
      </c>
      <c r="AB179" s="506">
        <v>0</v>
      </c>
      <c r="AC179" s="506">
        <v>0</v>
      </c>
      <c r="AD179" s="506">
        <v>0</v>
      </c>
      <c r="AE179" s="506">
        <v>0</v>
      </c>
      <c r="AF179" s="506">
        <v>0</v>
      </c>
      <c r="AG179" s="506">
        <v>0</v>
      </c>
      <c r="AH179" s="506">
        <v>0</v>
      </c>
      <c r="AI179" s="506">
        <v>0</v>
      </c>
      <c r="AJ179" s="506">
        <v>0</v>
      </c>
      <c r="AK179" s="506">
        <f>SUM(F179:AJ179)</f>
        <v>0</v>
      </c>
    </row>
    <row r="180" spans="3:37" ht="14.25" hidden="1" customHeight="1">
      <c r="C180" s="496"/>
      <c r="D180" s="496"/>
      <c r="E180" s="500" t="s">
        <v>12</v>
      </c>
      <c r="F180" s="506">
        <v>0</v>
      </c>
      <c r="G180" s="506">
        <v>0</v>
      </c>
      <c r="H180" s="506">
        <v>0</v>
      </c>
      <c r="I180" s="506">
        <v>0</v>
      </c>
      <c r="J180" s="506">
        <v>0</v>
      </c>
      <c r="K180" s="506">
        <v>0</v>
      </c>
      <c r="L180" s="506">
        <v>0</v>
      </c>
      <c r="M180" s="506">
        <v>0</v>
      </c>
      <c r="N180" s="506">
        <v>0</v>
      </c>
      <c r="O180" s="506">
        <v>0</v>
      </c>
      <c r="P180" s="506">
        <v>0</v>
      </c>
      <c r="Q180" s="506">
        <v>0</v>
      </c>
      <c r="R180" s="506">
        <v>0</v>
      </c>
      <c r="S180" s="506">
        <v>0</v>
      </c>
      <c r="T180" s="506">
        <v>0</v>
      </c>
      <c r="U180" s="506">
        <v>0</v>
      </c>
      <c r="V180" s="506">
        <v>0</v>
      </c>
      <c r="W180" s="506">
        <v>0</v>
      </c>
      <c r="X180" s="506">
        <v>0</v>
      </c>
      <c r="Y180" s="506">
        <v>0</v>
      </c>
      <c r="Z180" s="506">
        <v>0</v>
      </c>
      <c r="AA180" s="506">
        <v>0</v>
      </c>
      <c r="AB180" s="506">
        <v>0</v>
      </c>
      <c r="AC180" s="506">
        <v>0</v>
      </c>
      <c r="AD180" s="506">
        <v>0</v>
      </c>
      <c r="AE180" s="506">
        <v>0</v>
      </c>
      <c r="AF180" s="506">
        <v>0</v>
      </c>
      <c r="AG180" s="506">
        <v>0</v>
      </c>
      <c r="AH180" s="506">
        <v>0</v>
      </c>
      <c r="AI180" s="506">
        <v>0</v>
      </c>
      <c r="AJ180" s="506">
        <v>0</v>
      </c>
      <c r="AK180" s="506">
        <f>IF(OR(AK178=0,AK179=0),0,AK178/AK179)</f>
        <v>0</v>
      </c>
    </row>
    <row r="181" spans="3:37" ht="14.25" hidden="1" customHeight="1">
      <c r="C181" s="978" t="s">
        <v>117</v>
      </c>
      <c r="D181" s="507"/>
      <c r="E181" s="508" t="s">
        <v>158</v>
      </c>
      <c r="F181" s="1022"/>
      <c r="G181" s="1023"/>
      <c r="H181" s="1023"/>
      <c r="I181" s="1023"/>
      <c r="J181" s="1023"/>
      <c r="K181" s="1023"/>
      <c r="L181" s="1023"/>
      <c r="M181" s="1023"/>
      <c r="N181" s="1023"/>
      <c r="O181" s="1023"/>
      <c r="P181" s="1023"/>
      <c r="Q181" s="1023"/>
      <c r="R181" s="1023"/>
      <c r="S181" s="1023"/>
      <c r="T181" s="1023"/>
      <c r="U181" s="1023"/>
      <c r="V181" s="1023"/>
      <c r="W181" s="1023"/>
      <c r="X181" s="1023"/>
      <c r="Y181" s="1023"/>
      <c r="Z181" s="1023"/>
      <c r="AA181" s="1023"/>
      <c r="AB181" s="1023"/>
      <c r="AC181" s="1023"/>
      <c r="AD181" s="1023"/>
      <c r="AE181" s="1023"/>
      <c r="AF181" s="1023"/>
      <c r="AG181" s="1023"/>
      <c r="AH181" s="1023"/>
      <c r="AI181" s="1023"/>
      <c r="AJ181" s="1023"/>
      <c r="AK181" s="1024"/>
    </row>
    <row r="182" spans="3:37" ht="14.25" hidden="1" customHeight="1">
      <c r="C182" s="979"/>
      <c r="D182" s="509"/>
      <c r="E182" s="510" t="s">
        <v>22</v>
      </c>
      <c r="F182" s="505">
        <f t="shared" ref="F182:N182" si="65">F26</f>
        <v>0</v>
      </c>
      <c r="G182" s="505">
        <f t="shared" si="65"/>
        <v>0</v>
      </c>
      <c r="H182" s="505">
        <f t="shared" si="65"/>
        <v>0</v>
      </c>
      <c r="I182" s="505">
        <f t="shared" si="65"/>
        <v>0</v>
      </c>
      <c r="J182" s="505">
        <f t="shared" si="65"/>
        <v>0</v>
      </c>
      <c r="K182" s="505">
        <f t="shared" si="65"/>
        <v>0</v>
      </c>
      <c r="L182" s="505">
        <f t="shared" si="65"/>
        <v>0</v>
      </c>
      <c r="M182" s="505">
        <f t="shared" si="65"/>
        <v>0</v>
      </c>
      <c r="N182" s="505">
        <f t="shared" si="65"/>
        <v>0</v>
      </c>
      <c r="O182" s="505">
        <f t="shared" ref="O182:AJ182" si="66">O26-O208</f>
        <v>0</v>
      </c>
      <c r="P182" s="505">
        <f t="shared" si="66"/>
        <v>0</v>
      </c>
      <c r="Q182" s="505">
        <f t="shared" si="66"/>
        <v>0</v>
      </c>
      <c r="R182" s="505">
        <f t="shared" si="66"/>
        <v>0</v>
      </c>
      <c r="S182" s="505">
        <f t="shared" si="66"/>
        <v>0</v>
      </c>
      <c r="T182" s="505">
        <f t="shared" si="66"/>
        <v>0</v>
      </c>
      <c r="U182" s="505">
        <f t="shared" si="66"/>
        <v>0</v>
      </c>
      <c r="V182" s="505">
        <f t="shared" si="66"/>
        <v>0</v>
      </c>
      <c r="W182" s="505">
        <f t="shared" si="66"/>
        <v>0</v>
      </c>
      <c r="X182" s="505">
        <f t="shared" si="66"/>
        <v>0</v>
      </c>
      <c r="Y182" s="505">
        <f t="shared" si="66"/>
        <v>0</v>
      </c>
      <c r="Z182" s="505">
        <f t="shared" si="66"/>
        <v>0</v>
      </c>
      <c r="AA182" s="505">
        <f t="shared" si="66"/>
        <v>0</v>
      </c>
      <c r="AB182" s="505">
        <f t="shared" si="66"/>
        <v>0</v>
      </c>
      <c r="AC182" s="505">
        <f t="shared" si="66"/>
        <v>0</v>
      </c>
      <c r="AD182" s="505">
        <f t="shared" si="66"/>
        <v>0</v>
      </c>
      <c r="AE182" s="505">
        <f t="shared" si="66"/>
        <v>0</v>
      </c>
      <c r="AF182" s="505">
        <f t="shared" si="66"/>
        <v>0</v>
      </c>
      <c r="AG182" s="505">
        <f t="shared" si="66"/>
        <v>0</v>
      </c>
      <c r="AH182" s="505">
        <f t="shared" si="66"/>
        <v>0</v>
      </c>
      <c r="AI182" s="505">
        <f t="shared" si="66"/>
        <v>0</v>
      </c>
      <c r="AJ182" s="505">
        <f t="shared" si="66"/>
        <v>0</v>
      </c>
      <c r="AK182" s="537">
        <f>SUM(F182:AJ182)</f>
        <v>0</v>
      </c>
    </row>
    <row r="183" spans="3:37" ht="14.25" hidden="1" customHeight="1">
      <c r="C183" s="979"/>
      <c r="D183" s="509"/>
      <c r="E183" s="511" t="s">
        <v>151</v>
      </c>
      <c r="F183" s="506">
        <v>0</v>
      </c>
      <c r="G183" s="506">
        <v>0</v>
      </c>
      <c r="H183" s="506">
        <v>0</v>
      </c>
      <c r="I183" s="506">
        <v>0</v>
      </c>
      <c r="J183" s="506">
        <v>0</v>
      </c>
      <c r="K183" s="506">
        <v>0</v>
      </c>
      <c r="L183" s="506">
        <v>0</v>
      </c>
      <c r="M183" s="506">
        <v>0</v>
      </c>
      <c r="N183" s="506">
        <v>0</v>
      </c>
      <c r="O183" s="506">
        <v>0</v>
      </c>
      <c r="P183" s="506">
        <v>0</v>
      </c>
      <c r="Q183" s="506">
        <v>0</v>
      </c>
      <c r="R183" s="506">
        <v>0</v>
      </c>
      <c r="S183" s="506">
        <v>0</v>
      </c>
      <c r="T183" s="506">
        <v>0</v>
      </c>
      <c r="U183" s="506">
        <v>0</v>
      </c>
      <c r="V183" s="506">
        <v>0</v>
      </c>
      <c r="W183" s="506">
        <v>0</v>
      </c>
      <c r="X183" s="506">
        <v>0</v>
      </c>
      <c r="Y183" s="506">
        <v>0</v>
      </c>
      <c r="Z183" s="506">
        <v>0</v>
      </c>
      <c r="AA183" s="506">
        <v>0</v>
      </c>
      <c r="AB183" s="506">
        <v>0</v>
      </c>
      <c r="AC183" s="506">
        <v>0</v>
      </c>
      <c r="AD183" s="506">
        <v>0</v>
      </c>
      <c r="AE183" s="506">
        <v>0</v>
      </c>
      <c r="AF183" s="506">
        <v>0</v>
      </c>
      <c r="AG183" s="506">
        <v>0</v>
      </c>
      <c r="AH183" s="506">
        <v>0</v>
      </c>
      <c r="AI183" s="506">
        <v>0</v>
      </c>
      <c r="AJ183" s="506">
        <v>0</v>
      </c>
      <c r="AK183" s="538">
        <f>SUM(F183:AJ183)</f>
        <v>0</v>
      </c>
    </row>
    <row r="184" spans="3:37" ht="14.25" hidden="1" customHeight="1">
      <c r="C184" s="979"/>
      <c r="D184" s="509"/>
      <c r="E184" s="512" t="s">
        <v>12</v>
      </c>
      <c r="F184" s="513">
        <f t="shared" ref="F184:AK184" si="67">IF(OR(F182=0,F183=0),0,F182/F183)</f>
        <v>0</v>
      </c>
      <c r="G184" s="513">
        <f t="shared" si="67"/>
        <v>0</v>
      </c>
      <c r="H184" s="513">
        <f t="shared" si="67"/>
        <v>0</v>
      </c>
      <c r="I184" s="513">
        <f t="shared" si="67"/>
        <v>0</v>
      </c>
      <c r="J184" s="513">
        <f t="shared" si="67"/>
        <v>0</v>
      </c>
      <c r="K184" s="513">
        <f t="shared" si="67"/>
        <v>0</v>
      </c>
      <c r="L184" s="513">
        <f t="shared" si="67"/>
        <v>0</v>
      </c>
      <c r="M184" s="513">
        <f t="shared" si="67"/>
        <v>0</v>
      </c>
      <c r="N184" s="513">
        <f t="shared" si="67"/>
        <v>0</v>
      </c>
      <c r="O184" s="513">
        <f t="shared" si="67"/>
        <v>0</v>
      </c>
      <c r="P184" s="513">
        <f t="shared" si="67"/>
        <v>0</v>
      </c>
      <c r="Q184" s="513">
        <f t="shared" si="67"/>
        <v>0</v>
      </c>
      <c r="R184" s="513">
        <f t="shared" si="67"/>
        <v>0</v>
      </c>
      <c r="S184" s="513">
        <f t="shared" si="67"/>
        <v>0</v>
      </c>
      <c r="T184" s="513">
        <f t="shared" si="67"/>
        <v>0</v>
      </c>
      <c r="U184" s="513">
        <f t="shared" si="67"/>
        <v>0</v>
      </c>
      <c r="V184" s="513">
        <f t="shared" si="67"/>
        <v>0</v>
      </c>
      <c r="W184" s="513">
        <f t="shared" si="67"/>
        <v>0</v>
      </c>
      <c r="X184" s="513">
        <f t="shared" si="67"/>
        <v>0</v>
      </c>
      <c r="Y184" s="513">
        <f t="shared" si="67"/>
        <v>0</v>
      </c>
      <c r="Z184" s="513">
        <f t="shared" si="67"/>
        <v>0</v>
      </c>
      <c r="AA184" s="513">
        <f t="shared" si="67"/>
        <v>0</v>
      </c>
      <c r="AB184" s="513">
        <f t="shared" si="67"/>
        <v>0</v>
      </c>
      <c r="AC184" s="513">
        <f t="shared" si="67"/>
        <v>0</v>
      </c>
      <c r="AD184" s="513">
        <f t="shared" si="67"/>
        <v>0</v>
      </c>
      <c r="AE184" s="513">
        <f t="shared" si="67"/>
        <v>0</v>
      </c>
      <c r="AF184" s="513">
        <f t="shared" si="67"/>
        <v>0</v>
      </c>
      <c r="AG184" s="513">
        <f t="shared" si="67"/>
        <v>0</v>
      </c>
      <c r="AH184" s="513">
        <f t="shared" si="67"/>
        <v>0</v>
      </c>
      <c r="AI184" s="513">
        <f t="shared" si="67"/>
        <v>0</v>
      </c>
      <c r="AJ184" s="513">
        <f t="shared" si="67"/>
        <v>0</v>
      </c>
      <c r="AK184" s="539">
        <f t="shared" si="67"/>
        <v>0</v>
      </c>
    </row>
    <row r="185" spans="3:37" ht="14.25" hidden="1" customHeight="1">
      <c r="C185" s="979"/>
      <c r="D185" s="509"/>
      <c r="E185" s="514" t="s">
        <v>159</v>
      </c>
      <c r="F185" s="1025"/>
      <c r="G185" s="1026"/>
      <c r="H185" s="1026"/>
      <c r="I185" s="1026"/>
      <c r="J185" s="1026"/>
      <c r="K185" s="1026"/>
      <c r="L185" s="1026"/>
      <c r="M185" s="1026"/>
      <c r="N185" s="1026"/>
      <c r="O185" s="1026"/>
      <c r="P185" s="1026"/>
      <c r="Q185" s="1026"/>
      <c r="R185" s="1026"/>
      <c r="S185" s="1026"/>
      <c r="T185" s="1026"/>
      <c r="U185" s="1026"/>
      <c r="V185" s="1026"/>
      <c r="W185" s="1026"/>
      <c r="X185" s="1026"/>
      <c r="Y185" s="1026"/>
      <c r="Z185" s="1026"/>
      <c r="AA185" s="1026"/>
      <c r="AB185" s="1026"/>
      <c r="AC185" s="1026"/>
      <c r="AD185" s="1026"/>
      <c r="AE185" s="1026"/>
      <c r="AF185" s="1026"/>
      <c r="AG185" s="1026"/>
      <c r="AH185" s="1026"/>
      <c r="AI185" s="1026"/>
      <c r="AJ185" s="1026"/>
      <c r="AK185" s="1027"/>
    </row>
    <row r="186" spans="3:37" ht="14.25" hidden="1" customHeight="1">
      <c r="C186" s="979"/>
      <c r="D186" s="509"/>
      <c r="E186" s="510" t="s">
        <v>22</v>
      </c>
      <c r="F186" s="515">
        <f t="shared" ref="F186:AJ186" si="68">F31</f>
        <v>0</v>
      </c>
      <c r="G186" s="515">
        <f t="shared" si="68"/>
        <v>513</v>
      </c>
      <c r="H186" s="515">
        <f t="shared" si="68"/>
        <v>999</v>
      </c>
      <c r="I186" s="515">
        <f t="shared" si="68"/>
        <v>877.5</v>
      </c>
      <c r="J186" s="515">
        <f t="shared" si="68"/>
        <v>1147.5</v>
      </c>
      <c r="K186" s="515">
        <f t="shared" si="68"/>
        <v>0</v>
      </c>
      <c r="L186" s="515">
        <f t="shared" si="68"/>
        <v>1174.5</v>
      </c>
      <c r="M186" s="515">
        <f t="shared" si="68"/>
        <v>0</v>
      </c>
      <c r="N186" s="515">
        <f t="shared" si="68"/>
        <v>0</v>
      </c>
      <c r="O186" s="515">
        <f t="shared" si="68"/>
        <v>0</v>
      </c>
      <c r="P186" s="515">
        <f t="shared" si="68"/>
        <v>0</v>
      </c>
      <c r="Q186" s="515">
        <f t="shared" si="68"/>
        <v>0</v>
      </c>
      <c r="R186" s="515">
        <f t="shared" si="68"/>
        <v>0</v>
      </c>
      <c r="S186" s="515">
        <f t="shared" si="68"/>
        <v>0</v>
      </c>
      <c r="T186" s="515">
        <f t="shared" si="68"/>
        <v>0</v>
      </c>
      <c r="U186" s="515">
        <f t="shared" si="68"/>
        <v>0</v>
      </c>
      <c r="V186" s="515">
        <f t="shared" si="68"/>
        <v>0</v>
      </c>
      <c r="W186" s="515">
        <f t="shared" si="68"/>
        <v>0</v>
      </c>
      <c r="X186" s="515">
        <f t="shared" si="68"/>
        <v>0</v>
      </c>
      <c r="Y186" s="515">
        <f t="shared" si="68"/>
        <v>0</v>
      </c>
      <c r="Z186" s="515">
        <f t="shared" si="68"/>
        <v>0</v>
      </c>
      <c r="AA186" s="515">
        <f t="shared" si="68"/>
        <v>0</v>
      </c>
      <c r="AB186" s="515">
        <f t="shared" si="68"/>
        <v>0</v>
      </c>
      <c r="AC186" s="515">
        <f t="shared" si="68"/>
        <v>0</v>
      </c>
      <c r="AD186" s="515">
        <f t="shared" si="68"/>
        <v>0</v>
      </c>
      <c r="AE186" s="515">
        <f t="shared" si="68"/>
        <v>0</v>
      </c>
      <c r="AF186" s="515">
        <f t="shared" si="68"/>
        <v>0</v>
      </c>
      <c r="AG186" s="515">
        <f t="shared" si="68"/>
        <v>0</v>
      </c>
      <c r="AH186" s="515">
        <f t="shared" si="68"/>
        <v>0</v>
      </c>
      <c r="AI186" s="515">
        <f t="shared" si="68"/>
        <v>0</v>
      </c>
      <c r="AJ186" s="515">
        <f t="shared" si="68"/>
        <v>0</v>
      </c>
      <c r="AK186" s="540">
        <f>SUM(F186:AJ186)</f>
        <v>4711.5</v>
      </c>
    </row>
    <row r="187" spans="3:37" ht="14.25" hidden="1" customHeight="1">
      <c r="C187" s="979"/>
      <c r="D187" s="509"/>
      <c r="E187" s="511" t="s">
        <v>151</v>
      </c>
      <c r="F187" s="516">
        <v>0</v>
      </c>
      <c r="G187" s="516">
        <f t="shared" ref="G187:AJ187" si="69">G157-G197-G215</f>
        <v>0</v>
      </c>
      <c r="H187" s="516">
        <f t="shared" si="69"/>
        <v>0</v>
      </c>
      <c r="I187" s="516">
        <f t="shared" si="69"/>
        <v>0</v>
      </c>
      <c r="J187" s="516">
        <f t="shared" si="69"/>
        <v>0</v>
      </c>
      <c r="K187" s="516">
        <f t="shared" si="69"/>
        <v>0</v>
      </c>
      <c r="L187" s="516">
        <f t="shared" si="69"/>
        <v>0</v>
      </c>
      <c r="M187" s="516">
        <f t="shared" si="69"/>
        <v>0</v>
      </c>
      <c r="N187" s="516">
        <f t="shared" si="69"/>
        <v>0</v>
      </c>
      <c r="O187" s="516">
        <f t="shared" si="69"/>
        <v>0</v>
      </c>
      <c r="P187" s="516">
        <f t="shared" si="69"/>
        <v>0</v>
      </c>
      <c r="Q187" s="516">
        <f t="shared" si="69"/>
        <v>0</v>
      </c>
      <c r="R187" s="516">
        <f t="shared" si="69"/>
        <v>0</v>
      </c>
      <c r="S187" s="516">
        <f t="shared" si="69"/>
        <v>0</v>
      </c>
      <c r="T187" s="516">
        <f t="shared" si="69"/>
        <v>0</v>
      </c>
      <c r="U187" s="516">
        <f t="shared" si="69"/>
        <v>0</v>
      </c>
      <c r="V187" s="516">
        <f t="shared" si="69"/>
        <v>0</v>
      </c>
      <c r="W187" s="516">
        <f t="shared" si="69"/>
        <v>0</v>
      </c>
      <c r="X187" s="516">
        <f t="shared" si="69"/>
        <v>0</v>
      </c>
      <c r="Y187" s="516">
        <f t="shared" si="69"/>
        <v>0</v>
      </c>
      <c r="Z187" s="516">
        <f t="shared" si="69"/>
        <v>0</v>
      </c>
      <c r="AA187" s="516">
        <f t="shared" si="69"/>
        <v>0</v>
      </c>
      <c r="AB187" s="516">
        <f t="shared" si="69"/>
        <v>0</v>
      </c>
      <c r="AC187" s="516">
        <f t="shared" si="69"/>
        <v>0</v>
      </c>
      <c r="AD187" s="516">
        <f t="shared" si="69"/>
        <v>0</v>
      </c>
      <c r="AE187" s="516">
        <f t="shared" si="69"/>
        <v>0</v>
      </c>
      <c r="AF187" s="516">
        <f t="shared" si="69"/>
        <v>0</v>
      </c>
      <c r="AG187" s="516">
        <f t="shared" si="69"/>
        <v>0</v>
      </c>
      <c r="AH187" s="516">
        <f t="shared" si="69"/>
        <v>0</v>
      </c>
      <c r="AI187" s="516">
        <f t="shared" si="69"/>
        <v>0</v>
      </c>
      <c r="AJ187" s="516">
        <f t="shared" si="69"/>
        <v>0</v>
      </c>
      <c r="AK187" s="541">
        <f>SUM(F187:AJ187)</f>
        <v>0</v>
      </c>
    </row>
    <row r="188" spans="3:37" ht="14.25" hidden="1" customHeight="1">
      <c r="C188" s="980"/>
      <c r="D188" s="517"/>
      <c r="E188" s="518" t="s">
        <v>12</v>
      </c>
      <c r="F188" s="519">
        <f t="shared" ref="F188:AK188" si="70">IF(OR(F186=0,F187=0),0,F186/F187)</f>
        <v>0</v>
      </c>
      <c r="G188" s="519">
        <f t="shared" si="70"/>
        <v>0</v>
      </c>
      <c r="H188" s="519">
        <f t="shared" si="70"/>
        <v>0</v>
      </c>
      <c r="I188" s="519">
        <f t="shared" si="70"/>
        <v>0</v>
      </c>
      <c r="J188" s="519">
        <f t="shared" si="70"/>
        <v>0</v>
      </c>
      <c r="K188" s="519">
        <f t="shared" si="70"/>
        <v>0</v>
      </c>
      <c r="L188" s="519">
        <f t="shared" si="70"/>
        <v>0</v>
      </c>
      <c r="M188" s="519">
        <f t="shared" si="70"/>
        <v>0</v>
      </c>
      <c r="N188" s="519">
        <f t="shared" si="70"/>
        <v>0</v>
      </c>
      <c r="O188" s="519">
        <f t="shared" si="70"/>
        <v>0</v>
      </c>
      <c r="P188" s="519">
        <f t="shared" si="70"/>
        <v>0</v>
      </c>
      <c r="Q188" s="519">
        <f t="shared" si="70"/>
        <v>0</v>
      </c>
      <c r="R188" s="519">
        <f t="shared" si="70"/>
        <v>0</v>
      </c>
      <c r="S188" s="519">
        <f t="shared" si="70"/>
        <v>0</v>
      </c>
      <c r="T188" s="519">
        <f t="shared" si="70"/>
        <v>0</v>
      </c>
      <c r="U188" s="519">
        <f t="shared" si="70"/>
        <v>0</v>
      </c>
      <c r="V188" s="519">
        <f t="shared" si="70"/>
        <v>0</v>
      </c>
      <c r="W188" s="519">
        <f t="shared" si="70"/>
        <v>0</v>
      </c>
      <c r="X188" s="519">
        <f t="shared" si="70"/>
        <v>0</v>
      </c>
      <c r="Y188" s="519">
        <f t="shared" si="70"/>
        <v>0</v>
      </c>
      <c r="Z188" s="519">
        <f t="shared" si="70"/>
        <v>0</v>
      </c>
      <c r="AA188" s="519">
        <f t="shared" si="70"/>
        <v>0</v>
      </c>
      <c r="AB188" s="519">
        <f t="shared" si="70"/>
        <v>0</v>
      </c>
      <c r="AC188" s="519">
        <f t="shared" si="70"/>
        <v>0</v>
      </c>
      <c r="AD188" s="519">
        <f t="shared" si="70"/>
        <v>0</v>
      </c>
      <c r="AE188" s="519">
        <f t="shared" si="70"/>
        <v>0</v>
      </c>
      <c r="AF188" s="519">
        <f t="shared" si="70"/>
        <v>0</v>
      </c>
      <c r="AG188" s="519">
        <f t="shared" si="70"/>
        <v>0</v>
      </c>
      <c r="AH188" s="519">
        <f t="shared" si="70"/>
        <v>0</v>
      </c>
      <c r="AI188" s="519">
        <f t="shared" si="70"/>
        <v>0</v>
      </c>
      <c r="AJ188" s="519">
        <f t="shared" si="70"/>
        <v>0</v>
      </c>
      <c r="AK188" s="542">
        <f t="shared" si="70"/>
        <v>0</v>
      </c>
    </row>
    <row r="189" spans="3:37" ht="14.25" hidden="1" customHeight="1">
      <c r="C189" s="978" t="s">
        <v>160</v>
      </c>
      <c r="D189" s="520"/>
      <c r="E189" s="521" t="s">
        <v>158</v>
      </c>
      <c r="F189" s="1028"/>
      <c r="G189" s="1029"/>
      <c r="H189" s="1029"/>
      <c r="I189" s="1029"/>
      <c r="J189" s="1029"/>
      <c r="K189" s="1029"/>
      <c r="L189" s="1029"/>
      <c r="M189" s="1029"/>
      <c r="N189" s="1029"/>
      <c r="O189" s="1029"/>
      <c r="P189" s="1029"/>
      <c r="Q189" s="1029"/>
      <c r="R189" s="1029"/>
      <c r="S189" s="1029"/>
      <c r="T189" s="1029"/>
      <c r="U189" s="1029"/>
      <c r="V189" s="1029"/>
      <c r="W189" s="1029"/>
      <c r="X189" s="1029"/>
      <c r="Y189" s="1029"/>
      <c r="Z189" s="1029"/>
      <c r="AA189" s="1029"/>
      <c r="AB189" s="1029"/>
      <c r="AC189" s="1029"/>
      <c r="AD189" s="1029"/>
      <c r="AE189" s="1029"/>
      <c r="AF189" s="1029"/>
      <c r="AG189" s="1029"/>
      <c r="AH189" s="1029"/>
      <c r="AI189" s="1029"/>
      <c r="AJ189" s="1029"/>
      <c r="AK189" s="1030"/>
    </row>
    <row r="190" spans="3:37" ht="14.25" hidden="1" customHeight="1">
      <c r="C190" s="979"/>
      <c r="D190" s="522"/>
      <c r="E190" s="498" t="s">
        <v>22</v>
      </c>
      <c r="F190" s="523">
        <v>0</v>
      </c>
      <c r="G190" s="523">
        <v>0</v>
      </c>
      <c r="H190" s="523">
        <v>0</v>
      </c>
      <c r="I190" s="523">
        <v>0</v>
      </c>
      <c r="J190" s="523">
        <v>0</v>
      </c>
      <c r="K190" s="523">
        <v>0</v>
      </c>
      <c r="L190" s="523">
        <v>0</v>
      </c>
      <c r="M190" s="523">
        <v>0</v>
      </c>
      <c r="N190" s="523">
        <v>0</v>
      </c>
      <c r="O190" s="523">
        <v>0</v>
      </c>
      <c r="P190" s="523">
        <v>0</v>
      </c>
      <c r="Q190" s="523">
        <v>0</v>
      </c>
      <c r="R190" s="523">
        <v>0</v>
      </c>
      <c r="S190" s="523">
        <v>0</v>
      </c>
      <c r="T190" s="523">
        <v>0</v>
      </c>
      <c r="U190" s="523">
        <v>0</v>
      </c>
      <c r="V190" s="523">
        <v>0</v>
      </c>
      <c r="W190" s="523">
        <v>0</v>
      </c>
      <c r="X190" s="523">
        <v>0</v>
      </c>
      <c r="Y190" s="523">
        <v>0</v>
      </c>
      <c r="Z190" s="523">
        <v>0</v>
      </c>
      <c r="AA190" s="523">
        <v>0</v>
      </c>
      <c r="AB190" s="523">
        <v>0</v>
      </c>
      <c r="AC190" s="523">
        <v>0</v>
      </c>
      <c r="AD190" s="523">
        <v>0</v>
      </c>
      <c r="AE190" s="523">
        <v>0</v>
      </c>
      <c r="AF190" s="523">
        <v>0</v>
      </c>
      <c r="AG190" s="523">
        <v>0</v>
      </c>
      <c r="AH190" s="523">
        <v>0</v>
      </c>
      <c r="AI190" s="523">
        <v>0</v>
      </c>
      <c r="AJ190" s="523">
        <v>0</v>
      </c>
      <c r="AK190" s="543">
        <f>SUM(F190:AJ190)</f>
        <v>0</v>
      </c>
    </row>
    <row r="191" spans="3:37" ht="14.25" hidden="1" customHeight="1">
      <c r="C191" s="979"/>
      <c r="D191" s="522"/>
      <c r="E191" s="500" t="s">
        <v>151</v>
      </c>
      <c r="F191" s="524">
        <v>0</v>
      </c>
      <c r="G191" s="524">
        <v>0</v>
      </c>
      <c r="H191" s="524">
        <v>0</v>
      </c>
      <c r="I191" s="524">
        <v>0</v>
      </c>
      <c r="J191" s="524">
        <v>0</v>
      </c>
      <c r="K191" s="524">
        <v>0</v>
      </c>
      <c r="L191" s="524">
        <v>0</v>
      </c>
      <c r="M191" s="524">
        <v>0</v>
      </c>
      <c r="N191" s="524">
        <v>0</v>
      </c>
      <c r="O191" s="524">
        <v>0</v>
      </c>
      <c r="P191" s="524">
        <v>0</v>
      </c>
      <c r="Q191" s="524">
        <v>0</v>
      </c>
      <c r="R191" s="524">
        <v>0</v>
      </c>
      <c r="S191" s="524">
        <v>0</v>
      </c>
      <c r="T191" s="524">
        <v>0</v>
      </c>
      <c r="U191" s="524">
        <v>0</v>
      </c>
      <c r="V191" s="524">
        <v>0</v>
      </c>
      <c r="W191" s="524">
        <v>0</v>
      </c>
      <c r="X191" s="524">
        <v>0</v>
      </c>
      <c r="Y191" s="524">
        <v>0</v>
      </c>
      <c r="Z191" s="524">
        <v>0</v>
      </c>
      <c r="AA191" s="524">
        <v>0</v>
      </c>
      <c r="AB191" s="524">
        <v>0</v>
      </c>
      <c r="AC191" s="524">
        <v>0</v>
      </c>
      <c r="AD191" s="524">
        <v>0</v>
      </c>
      <c r="AE191" s="524">
        <v>0</v>
      </c>
      <c r="AF191" s="524">
        <v>0</v>
      </c>
      <c r="AG191" s="524">
        <v>0</v>
      </c>
      <c r="AH191" s="524">
        <v>0</v>
      </c>
      <c r="AI191" s="524">
        <v>0</v>
      </c>
      <c r="AJ191" s="524">
        <v>0</v>
      </c>
      <c r="AK191" s="544">
        <f>SUM(F191:AJ191)</f>
        <v>0</v>
      </c>
    </row>
    <row r="192" spans="3:37" ht="14.25" hidden="1" customHeight="1">
      <c r="C192" s="979"/>
      <c r="D192" s="522"/>
      <c r="E192" s="502" t="s">
        <v>12</v>
      </c>
      <c r="F192" s="513">
        <v>0</v>
      </c>
      <c r="G192" s="513">
        <v>0</v>
      </c>
      <c r="H192" s="513">
        <v>0</v>
      </c>
      <c r="I192" s="513">
        <v>0</v>
      </c>
      <c r="J192" s="513">
        <v>0</v>
      </c>
      <c r="K192" s="513">
        <v>0</v>
      </c>
      <c r="L192" s="513">
        <v>0</v>
      </c>
      <c r="M192" s="513">
        <v>0</v>
      </c>
      <c r="N192" s="513">
        <v>0</v>
      </c>
      <c r="O192" s="513">
        <v>0</v>
      </c>
      <c r="P192" s="513">
        <v>0</v>
      </c>
      <c r="Q192" s="513">
        <v>0</v>
      </c>
      <c r="R192" s="513">
        <v>0</v>
      </c>
      <c r="S192" s="513">
        <v>0</v>
      </c>
      <c r="T192" s="513">
        <v>0</v>
      </c>
      <c r="U192" s="513">
        <v>0</v>
      </c>
      <c r="V192" s="513">
        <v>0</v>
      </c>
      <c r="W192" s="513">
        <v>0</v>
      </c>
      <c r="X192" s="513">
        <v>0</v>
      </c>
      <c r="Y192" s="513">
        <v>0</v>
      </c>
      <c r="Z192" s="513">
        <v>0</v>
      </c>
      <c r="AA192" s="513">
        <v>0</v>
      </c>
      <c r="AB192" s="513">
        <v>0</v>
      </c>
      <c r="AC192" s="513">
        <v>0</v>
      </c>
      <c r="AD192" s="513">
        <v>0</v>
      </c>
      <c r="AE192" s="513">
        <v>0</v>
      </c>
      <c r="AF192" s="513">
        <v>0</v>
      </c>
      <c r="AG192" s="513">
        <v>0</v>
      </c>
      <c r="AH192" s="513">
        <v>0</v>
      </c>
      <c r="AI192" s="513">
        <v>0</v>
      </c>
      <c r="AJ192" s="513">
        <v>0</v>
      </c>
      <c r="AK192" s="539">
        <f>IF(OR(AK190=0,AK191=0),0,AK190/AK191)</f>
        <v>0</v>
      </c>
    </row>
    <row r="193" spans="1:39" ht="14.25" hidden="1" customHeight="1">
      <c r="C193" s="979"/>
      <c r="D193" s="1031"/>
      <c r="E193" s="1032"/>
      <c r="F193" s="1033"/>
      <c r="G193" s="1034"/>
      <c r="H193" s="1034"/>
      <c r="I193" s="1034"/>
      <c r="J193" s="1034"/>
      <c r="K193" s="1034"/>
      <c r="L193" s="1034"/>
      <c r="M193" s="1034"/>
      <c r="N193" s="1034"/>
      <c r="O193" s="1034"/>
      <c r="P193" s="1034"/>
      <c r="Q193" s="1034"/>
      <c r="R193" s="1034"/>
      <c r="S193" s="1034"/>
      <c r="T193" s="1034"/>
      <c r="U193" s="1034"/>
      <c r="V193" s="1034"/>
      <c r="W193" s="1034"/>
      <c r="X193" s="1034"/>
      <c r="Y193" s="1034"/>
      <c r="Z193" s="1034"/>
      <c r="AA193" s="1034"/>
      <c r="AB193" s="1034"/>
      <c r="AC193" s="1034"/>
      <c r="AD193" s="1034"/>
      <c r="AE193" s="1034"/>
      <c r="AF193" s="1034"/>
      <c r="AG193" s="1034"/>
      <c r="AH193" s="1034"/>
      <c r="AI193" s="1034"/>
      <c r="AJ193" s="1034"/>
      <c r="AK193" s="1035"/>
      <c r="AM193" s="221"/>
    </row>
    <row r="194" spans="1:39" s="354" customFormat="1" ht="13.5" hidden="1" customHeight="1">
      <c r="A194" s="184"/>
      <c r="C194" s="979"/>
      <c r="D194" s="1036" t="s">
        <v>22</v>
      </c>
      <c r="E194" s="1037"/>
      <c r="F194" s="545">
        <f>F21+F26+F16</f>
        <v>0</v>
      </c>
      <c r="G194" s="545">
        <f t="shared" ref="G194:AJ194" si="71">G21+G26+G16</f>
        <v>0</v>
      </c>
      <c r="H194" s="545">
        <f t="shared" si="71"/>
        <v>0</v>
      </c>
      <c r="I194" s="545">
        <f t="shared" si="71"/>
        <v>0</v>
      </c>
      <c r="J194" s="545">
        <f t="shared" si="71"/>
        <v>0</v>
      </c>
      <c r="K194" s="545">
        <f t="shared" si="71"/>
        <v>0</v>
      </c>
      <c r="L194" s="545">
        <f t="shared" si="71"/>
        <v>0</v>
      </c>
      <c r="M194" s="545">
        <f t="shared" si="71"/>
        <v>0</v>
      </c>
      <c r="N194" s="545">
        <f t="shared" si="71"/>
        <v>0</v>
      </c>
      <c r="O194" s="545">
        <f t="shared" si="71"/>
        <v>0</v>
      </c>
      <c r="P194" s="545">
        <f t="shared" si="71"/>
        <v>0</v>
      </c>
      <c r="Q194" s="545">
        <f t="shared" si="71"/>
        <v>0</v>
      </c>
      <c r="R194" s="545">
        <f t="shared" si="71"/>
        <v>0</v>
      </c>
      <c r="S194" s="545">
        <f t="shared" si="71"/>
        <v>0</v>
      </c>
      <c r="T194" s="545">
        <f t="shared" si="71"/>
        <v>0</v>
      </c>
      <c r="U194" s="545">
        <f t="shared" si="71"/>
        <v>0</v>
      </c>
      <c r="V194" s="545">
        <f t="shared" si="71"/>
        <v>0</v>
      </c>
      <c r="W194" s="545">
        <f t="shared" si="71"/>
        <v>0</v>
      </c>
      <c r="X194" s="545">
        <f t="shared" si="71"/>
        <v>0</v>
      </c>
      <c r="Y194" s="545">
        <f t="shared" si="71"/>
        <v>0</v>
      </c>
      <c r="Z194" s="545">
        <f t="shared" si="71"/>
        <v>0</v>
      </c>
      <c r="AA194" s="545">
        <f t="shared" si="71"/>
        <v>0</v>
      </c>
      <c r="AB194" s="545">
        <f t="shared" si="71"/>
        <v>0</v>
      </c>
      <c r="AC194" s="545">
        <f t="shared" si="71"/>
        <v>0</v>
      </c>
      <c r="AD194" s="545">
        <f t="shared" si="71"/>
        <v>0</v>
      </c>
      <c r="AE194" s="545">
        <f t="shared" si="71"/>
        <v>0</v>
      </c>
      <c r="AF194" s="545">
        <f t="shared" si="71"/>
        <v>0</v>
      </c>
      <c r="AG194" s="545">
        <f t="shared" si="71"/>
        <v>0</v>
      </c>
      <c r="AH194" s="545">
        <f t="shared" si="71"/>
        <v>0</v>
      </c>
      <c r="AI194" s="545">
        <f t="shared" si="71"/>
        <v>0</v>
      </c>
      <c r="AJ194" s="545">
        <f t="shared" si="71"/>
        <v>0</v>
      </c>
      <c r="AK194" s="613">
        <f>SUM(F194:AJ194)</f>
        <v>0</v>
      </c>
      <c r="AM194" s="614">
        <f>SUMIFS($F$194:$AJ$194,$F$172:$AJ$172,DAY(Summary!D3))</f>
        <v>0</v>
      </c>
    </row>
    <row r="195" spans="1:39" ht="13.5" hidden="1" customHeight="1">
      <c r="C195" s="979"/>
      <c r="D195" s="1054" t="s">
        <v>151</v>
      </c>
      <c r="E195" s="546" t="s">
        <v>161</v>
      </c>
      <c r="F195" s="523">
        <v>0</v>
      </c>
      <c r="G195" s="523">
        <v>0</v>
      </c>
      <c r="H195" s="523">
        <v>0</v>
      </c>
      <c r="I195" s="523">
        <v>0</v>
      </c>
      <c r="J195" s="523">
        <v>0</v>
      </c>
      <c r="K195" s="523">
        <v>0</v>
      </c>
      <c r="L195" s="523">
        <v>0</v>
      </c>
      <c r="M195" s="523">
        <v>0</v>
      </c>
      <c r="N195" s="523">
        <v>0</v>
      </c>
      <c r="O195" s="523">
        <v>0</v>
      </c>
      <c r="P195" s="523">
        <v>0</v>
      </c>
      <c r="Q195" s="523">
        <v>0</v>
      </c>
      <c r="R195" s="523">
        <v>0</v>
      </c>
      <c r="S195" s="523">
        <v>0</v>
      </c>
      <c r="T195" s="523">
        <v>0</v>
      </c>
      <c r="U195" s="523">
        <v>0</v>
      </c>
      <c r="V195" s="523">
        <v>0</v>
      </c>
      <c r="W195" s="523">
        <v>0</v>
      </c>
      <c r="X195" s="523">
        <v>0</v>
      </c>
      <c r="Y195" s="523">
        <v>0</v>
      </c>
      <c r="Z195" s="523">
        <v>0</v>
      </c>
      <c r="AA195" s="523">
        <v>0</v>
      </c>
      <c r="AB195" s="523">
        <v>0</v>
      </c>
      <c r="AC195" s="523">
        <v>0</v>
      </c>
      <c r="AD195" s="523">
        <v>0</v>
      </c>
      <c r="AE195" s="523">
        <v>0</v>
      </c>
      <c r="AF195" s="523">
        <v>0</v>
      </c>
      <c r="AG195" s="523">
        <v>0</v>
      </c>
      <c r="AH195" s="523">
        <v>0</v>
      </c>
      <c r="AI195" s="523">
        <v>0</v>
      </c>
      <c r="AJ195" s="523">
        <v>0</v>
      </c>
      <c r="AK195" s="615">
        <f>SUM(F195:AJ195)</f>
        <v>0</v>
      </c>
      <c r="AM195" s="175"/>
    </row>
    <row r="196" spans="1:39" ht="13.5" hidden="1" customHeight="1">
      <c r="C196" s="979"/>
      <c r="D196" s="1054"/>
      <c r="E196" s="547" t="s">
        <v>162</v>
      </c>
      <c r="F196" s="548">
        <v>0</v>
      </c>
      <c r="G196" s="548">
        <v>0</v>
      </c>
      <c r="H196" s="548">
        <v>0</v>
      </c>
      <c r="I196" s="548">
        <v>0</v>
      </c>
      <c r="J196" s="548">
        <v>0</v>
      </c>
      <c r="K196" s="548">
        <v>0</v>
      </c>
      <c r="L196" s="548">
        <v>0</v>
      </c>
      <c r="M196" s="548">
        <v>0</v>
      </c>
      <c r="N196" s="548">
        <v>0</v>
      </c>
      <c r="O196" s="548">
        <v>0</v>
      </c>
      <c r="P196" s="548">
        <v>0</v>
      </c>
      <c r="Q196" s="548">
        <v>0</v>
      </c>
      <c r="R196" s="548"/>
      <c r="S196" s="548">
        <v>0</v>
      </c>
      <c r="T196" s="548"/>
      <c r="U196" s="548">
        <v>0</v>
      </c>
      <c r="V196" s="548"/>
      <c r="W196" s="548">
        <v>0</v>
      </c>
      <c r="X196" s="548"/>
      <c r="Y196" s="548">
        <v>0</v>
      </c>
      <c r="Z196" s="548"/>
      <c r="AA196" s="548">
        <v>0</v>
      </c>
      <c r="AB196" s="548">
        <v>0</v>
      </c>
      <c r="AC196" s="548">
        <v>0</v>
      </c>
      <c r="AD196" s="548">
        <v>0</v>
      </c>
      <c r="AE196" s="548">
        <v>0</v>
      </c>
      <c r="AF196" s="548">
        <v>0</v>
      </c>
      <c r="AG196" s="548">
        <v>0</v>
      </c>
      <c r="AH196" s="548">
        <v>0</v>
      </c>
      <c r="AI196" s="548">
        <v>0</v>
      </c>
      <c r="AJ196" s="548">
        <v>0</v>
      </c>
      <c r="AK196" s="616">
        <f>SUM(F196:AJ196)</f>
        <v>0</v>
      </c>
      <c r="AM196" s="175"/>
    </row>
    <row r="197" spans="1:39" s="354" customFormat="1" ht="13.5" hidden="1" customHeight="1">
      <c r="C197" s="979"/>
      <c r="D197" s="1054"/>
      <c r="E197" s="549" t="s">
        <v>110</v>
      </c>
      <c r="F197" s="550">
        <f t="shared" ref="F197:AK197" si="72">SUM(F195:F196)</f>
        <v>0</v>
      </c>
      <c r="G197" s="550">
        <f t="shared" si="72"/>
        <v>0</v>
      </c>
      <c r="H197" s="550">
        <f t="shared" si="72"/>
        <v>0</v>
      </c>
      <c r="I197" s="550">
        <f t="shared" si="72"/>
        <v>0</v>
      </c>
      <c r="J197" s="550">
        <f t="shared" si="72"/>
        <v>0</v>
      </c>
      <c r="K197" s="550">
        <f t="shared" si="72"/>
        <v>0</v>
      </c>
      <c r="L197" s="550">
        <f t="shared" si="72"/>
        <v>0</v>
      </c>
      <c r="M197" s="550">
        <f t="shared" si="72"/>
        <v>0</v>
      </c>
      <c r="N197" s="550">
        <f t="shared" si="72"/>
        <v>0</v>
      </c>
      <c r="O197" s="550">
        <f t="shared" si="72"/>
        <v>0</v>
      </c>
      <c r="P197" s="550">
        <f t="shared" si="72"/>
        <v>0</v>
      </c>
      <c r="Q197" s="550">
        <f t="shared" si="72"/>
        <v>0</v>
      </c>
      <c r="R197" s="550">
        <f t="shared" si="72"/>
        <v>0</v>
      </c>
      <c r="S197" s="550">
        <f t="shared" si="72"/>
        <v>0</v>
      </c>
      <c r="T197" s="550">
        <f t="shared" si="72"/>
        <v>0</v>
      </c>
      <c r="U197" s="550">
        <f t="shared" si="72"/>
        <v>0</v>
      </c>
      <c r="V197" s="550">
        <f t="shared" si="72"/>
        <v>0</v>
      </c>
      <c r="W197" s="550">
        <f t="shared" si="72"/>
        <v>0</v>
      </c>
      <c r="X197" s="550">
        <f t="shared" si="72"/>
        <v>0</v>
      </c>
      <c r="Y197" s="550">
        <f t="shared" si="72"/>
        <v>0</v>
      </c>
      <c r="Z197" s="550">
        <f t="shared" si="72"/>
        <v>0</v>
      </c>
      <c r="AA197" s="550">
        <f t="shared" si="72"/>
        <v>0</v>
      </c>
      <c r="AB197" s="550">
        <f t="shared" si="72"/>
        <v>0</v>
      </c>
      <c r="AC197" s="550">
        <f t="shared" si="72"/>
        <v>0</v>
      </c>
      <c r="AD197" s="550">
        <f t="shared" si="72"/>
        <v>0</v>
      </c>
      <c r="AE197" s="550">
        <f t="shared" si="72"/>
        <v>0</v>
      </c>
      <c r="AF197" s="550">
        <f t="shared" si="72"/>
        <v>0</v>
      </c>
      <c r="AG197" s="550">
        <f t="shared" si="72"/>
        <v>0</v>
      </c>
      <c r="AH197" s="550">
        <f t="shared" si="72"/>
        <v>0</v>
      </c>
      <c r="AI197" s="550">
        <f t="shared" si="72"/>
        <v>0</v>
      </c>
      <c r="AJ197" s="550">
        <f t="shared" si="72"/>
        <v>0</v>
      </c>
      <c r="AK197" s="550">
        <f t="shared" si="72"/>
        <v>0</v>
      </c>
      <c r="AM197" s="617">
        <f>SUMIFS($F$197:$AJ$197,$F$172:$AJ$172,DAY(Summary!D3))</f>
        <v>0</v>
      </c>
    </row>
    <row r="198" spans="1:39" ht="13.5" hidden="1" customHeight="1">
      <c r="C198" s="980"/>
      <c r="D198" s="1038" t="s">
        <v>12</v>
      </c>
      <c r="E198" s="1039"/>
      <c r="F198" s="551">
        <f t="shared" ref="F198:AK198" si="73">IF(OR(F194=0,F197=0),0,F194/F197)</f>
        <v>0</v>
      </c>
      <c r="G198" s="551">
        <f t="shared" si="73"/>
        <v>0</v>
      </c>
      <c r="H198" s="551">
        <f t="shared" si="73"/>
        <v>0</v>
      </c>
      <c r="I198" s="551">
        <f t="shared" si="73"/>
        <v>0</v>
      </c>
      <c r="J198" s="551">
        <f t="shared" si="73"/>
        <v>0</v>
      </c>
      <c r="K198" s="551">
        <f t="shared" si="73"/>
        <v>0</v>
      </c>
      <c r="L198" s="551">
        <f t="shared" si="73"/>
        <v>0</v>
      </c>
      <c r="M198" s="551">
        <f t="shared" si="73"/>
        <v>0</v>
      </c>
      <c r="N198" s="551">
        <f t="shared" si="73"/>
        <v>0</v>
      </c>
      <c r="O198" s="551">
        <f t="shared" si="73"/>
        <v>0</v>
      </c>
      <c r="P198" s="551">
        <f t="shared" si="73"/>
        <v>0</v>
      </c>
      <c r="Q198" s="551">
        <f t="shared" si="73"/>
        <v>0</v>
      </c>
      <c r="R198" s="551">
        <f t="shared" si="73"/>
        <v>0</v>
      </c>
      <c r="S198" s="551">
        <f t="shared" si="73"/>
        <v>0</v>
      </c>
      <c r="T198" s="551">
        <f t="shared" si="73"/>
        <v>0</v>
      </c>
      <c r="U198" s="551">
        <f t="shared" si="73"/>
        <v>0</v>
      </c>
      <c r="V198" s="551">
        <f t="shared" si="73"/>
        <v>0</v>
      </c>
      <c r="W198" s="551">
        <f t="shared" si="73"/>
        <v>0</v>
      </c>
      <c r="X198" s="551">
        <f t="shared" si="73"/>
        <v>0</v>
      </c>
      <c r="Y198" s="551">
        <f t="shared" si="73"/>
        <v>0</v>
      </c>
      <c r="Z198" s="551">
        <f t="shared" si="73"/>
        <v>0</v>
      </c>
      <c r="AA198" s="551">
        <f t="shared" si="73"/>
        <v>0</v>
      </c>
      <c r="AB198" s="551">
        <f t="shared" si="73"/>
        <v>0</v>
      </c>
      <c r="AC198" s="551">
        <f t="shared" si="73"/>
        <v>0</v>
      </c>
      <c r="AD198" s="551">
        <f t="shared" si="73"/>
        <v>0</v>
      </c>
      <c r="AE198" s="551">
        <f t="shared" si="73"/>
        <v>0</v>
      </c>
      <c r="AF198" s="551">
        <f t="shared" si="73"/>
        <v>0</v>
      </c>
      <c r="AG198" s="551">
        <f t="shared" si="73"/>
        <v>0</v>
      </c>
      <c r="AH198" s="551">
        <f t="shared" si="73"/>
        <v>0</v>
      </c>
      <c r="AI198" s="551">
        <f t="shared" si="73"/>
        <v>0</v>
      </c>
      <c r="AJ198" s="551">
        <f t="shared" si="73"/>
        <v>0</v>
      </c>
      <c r="AK198" s="551">
        <f t="shared" si="73"/>
        <v>0</v>
      </c>
      <c r="AM198" s="175"/>
    </row>
    <row r="199" spans="1:39" ht="13.5" hidden="1" customHeight="1">
      <c r="C199" s="496"/>
      <c r="D199" s="496"/>
      <c r="E199" s="552" t="s">
        <v>163</v>
      </c>
      <c r="F199" s="553"/>
      <c r="G199" s="553"/>
      <c r="H199" s="553"/>
      <c r="I199" s="553"/>
      <c r="J199" s="553"/>
      <c r="K199" s="553"/>
      <c r="L199" s="553"/>
      <c r="M199" s="553"/>
      <c r="N199" s="553"/>
      <c r="O199" s="553"/>
      <c r="P199" s="553"/>
      <c r="Q199" s="553"/>
      <c r="R199" s="553"/>
      <c r="S199" s="553"/>
      <c r="T199" s="553"/>
      <c r="U199" s="553"/>
      <c r="V199" s="553"/>
      <c r="W199" s="553"/>
      <c r="X199" s="553"/>
      <c r="Y199" s="553"/>
      <c r="Z199" s="553"/>
      <c r="AA199" s="553"/>
      <c r="AB199" s="553"/>
      <c r="AC199" s="553"/>
      <c r="AD199" s="553"/>
      <c r="AE199" s="553"/>
      <c r="AF199" s="553"/>
      <c r="AG199" s="553"/>
      <c r="AH199" s="553"/>
      <c r="AI199" s="553"/>
      <c r="AJ199" s="553"/>
      <c r="AK199" s="618" t="s">
        <v>164</v>
      </c>
      <c r="AM199" s="175"/>
    </row>
    <row r="200" spans="1:39" ht="13.5" hidden="1" customHeight="1">
      <c r="C200" s="496"/>
      <c r="D200" s="496"/>
      <c r="E200" s="554" t="s">
        <v>22</v>
      </c>
      <c r="F200" s="555">
        <f t="shared" ref="F200:AJ200" si="74">F190+F194+F186+F182</f>
        <v>0</v>
      </c>
      <c r="G200" s="555">
        <f t="shared" si="74"/>
        <v>513</v>
      </c>
      <c r="H200" s="555">
        <f t="shared" si="74"/>
        <v>999</v>
      </c>
      <c r="I200" s="555">
        <f t="shared" si="74"/>
        <v>877.5</v>
      </c>
      <c r="J200" s="555">
        <f t="shared" si="74"/>
        <v>1147.5</v>
      </c>
      <c r="K200" s="555">
        <f t="shared" si="74"/>
        <v>0</v>
      </c>
      <c r="L200" s="555">
        <f t="shared" si="74"/>
        <v>1174.5</v>
      </c>
      <c r="M200" s="555">
        <f t="shared" si="74"/>
        <v>0</v>
      </c>
      <c r="N200" s="555">
        <f t="shared" si="74"/>
        <v>0</v>
      </c>
      <c r="O200" s="555">
        <f t="shared" si="74"/>
        <v>0</v>
      </c>
      <c r="P200" s="555">
        <f t="shared" si="74"/>
        <v>0</v>
      </c>
      <c r="Q200" s="555">
        <f t="shared" si="74"/>
        <v>0</v>
      </c>
      <c r="R200" s="555">
        <f t="shared" si="74"/>
        <v>0</v>
      </c>
      <c r="S200" s="555">
        <f t="shared" si="74"/>
        <v>0</v>
      </c>
      <c r="T200" s="555">
        <f t="shared" si="74"/>
        <v>0</v>
      </c>
      <c r="U200" s="555">
        <f t="shared" si="74"/>
        <v>0</v>
      </c>
      <c r="V200" s="555">
        <f t="shared" si="74"/>
        <v>0</v>
      </c>
      <c r="W200" s="555">
        <f t="shared" si="74"/>
        <v>0</v>
      </c>
      <c r="X200" s="555">
        <f t="shared" si="74"/>
        <v>0</v>
      </c>
      <c r="Y200" s="555">
        <f t="shared" si="74"/>
        <v>0</v>
      </c>
      <c r="Z200" s="555">
        <f t="shared" si="74"/>
        <v>0</v>
      </c>
      <c r="AA200" s="555">
        <f t="shared" si="74"/>
        <v>0</v>
      </c>
      <c r="AB200" s="555">
        <f t="shared" si="74"/>
        <v>0</v>
      </c>
      <c r="AC200" s="555">
        <f t="shared" si="74"/>
        <v>0</v>
      </c>
      <c r="AD200" s="555">
        <f t="shared" si="74"/>
        <v>0</v>
      </c>
      <c r="AE200" s="555">
        <f t="shared" si="74"/>
        <v>0</v>
      </c>
      <c r="AF200" s="555">
        <f t="shared" si="74"/>
        <v>0</v>
      </c>
      <c r="AG200" s="555">
        <f t="shared" si="74"/>
        <v>0</v>
      </c>
      <c r="AH200" s="555">
        <f t="shared" si="74"/>
        <v>0</v>
      </c>
      <c r="AI200" s="555">
        <f t="shared" si="74"/>
        <v>0</v>
      </c>
      <c r="AJ200" s="555">
        <f t="shared" si="74"/>
        <v>0</v>
      </c>
      <c r="AK200" s="555">
        <f>SUM(AK174,AK178,AK182,AK186,AK190,AK194)</f>
        <v>4711.5</v>
      </c>
      <c r="AM200" s="175"/>
    </row>
    <row r="201" spans="1:39" ht="13.5" hidden="1" customHeight="1">
      <c r="C201" s="496"/>
      <c r="D201" s="496"/>
      <c r="E201" s="556" t="s">
        <v>151</v>
      </c>
      <c r="F201" s="557">
        <f t="shared" ref="F201:AJ201" si="75">F191+F197+F187+F183</f>
        <v>0</v>
      </c>
      <c r="G201" s="557">
        <f t="shared" si="75"/>
        <v>0</v>
      </c>
      <c r="H201" s="557">
        <f t="shared" si="75"/>
        <v>0</v>
      </c>
      <c r="I201" s="557">
        <f t="shared" si="75"/>
        <v>0</v>
      </c>
      <c r="J201" s="557">
        <f t="shared" si="75"/>
        <v>0</v>
      </c>
      <c r="K201" s="557">
        <f t="shared" si="75"/>
        <v>0</v>
      </c>
      <c r="L201" s="557">
        <f t="shared" si="75"/>
        <v>0</v>
      </c>
      <c r="M201" s="557">
        <f t="shared" si="75"/>
        <v>0</v>
      </c>
      <c r="N201" s="557">
        <f t="shared" si="75"/>
        <v>0</v>
      </c>
      <c r="O201" s="557">
        <f t="shared" si="75"/>
        <v>0</v>
      </c>
      <c r="P201" s="557">
        <f t="shared" si="75"/>
        <v>0</v>
      </c>
      <c r="Q201" s="557">
        <f t="shared" si="75"/>
        <v>0</v>
      </c>
      <c r="R201" s="557">
        <f t="shared" si="75"/>
        <v>0</v>
      </c>
      <c r="S201" s="557">
        <f t="shared" si="75"/>
        <v>0</v>
      </c>
      <c r="T201" s="557">
        <f t="shared" si="75"/>
        <v>0</v>
      </c>
      <c r="U201" s="557">
        <f t="shared" si="75"/>
        <v>0</v>
      </c>
      <c r="V201" s="557">
        <f t="shared" si="75"/>
        <v>0</v>
      </c>
      <c r="W201" s="557">
        <f t="shared" si="75"/>
        <v>0</v>
      </c>
      <c r="X201" s="557">
        <f t="shared" si="75"/>
        <v>0</v>
      </c>
      <c r="Y201" s="557">
        <f t="shared" si="75"/>
        <v>0</v>
      </c>
      <c r="Z201" s="557">
        <f t="shared" si="75"/>
        <v>0</v>
      </c>
      <c r="AA201" s="557">
        <f t="shared" si="75"/>
        <v>0</v>
      </c>
      <c r="AB201" s="557">
        <f t="shared" si="75"/>
        <v>0</v>
      </c>
      <c r="AC201" s="557">
        <f t="shared" si="75"/>
        <v>0</v>
      </c>
      <c r="AD201" s="557">
        <f t="shared" si="75"/>
        <v>0</v>
      </c>
      <c r="AE201" s="557">
        <f t="shared" si="75"/>
        <v>0</v>
      </c>
      <c r="AF201" s="557">
        <f t="shared" si="75"/>
        <v>0</v>
      </c>
      <c r="AG201" s="557">
        <f t="shared" si="75"/>
        <v>0</v>
      </c>
      <c r="AH201" s="557">
        <f t="shared" si="75"/>
        <v>0</v>
      </c>
      <c r="AI201" s="557">
        <f t="shared" si="75"/>
        <v>0</v>
      </c>
      <c r="AJ201" s="557">
        <f t="shared" si="75"/>
        <v>0</v>
      </c>
      <c r="AK201" s="557">
        <f>SUM(AK187,AK191,AK197)</f>
        <v>0</v>
      </c>
      <c r="AM201" s="175"/>
    </row>
    <row r="202" spans="1:39" ht="13.5" hidden="1" customHeight="1">
      <c r="C202" s="558"/>
      <c r="D202" s="558"/>
      <c r="E202" s="559" t="s">
        <v>12</v>
      </c>
      <c r="F202" s="560">
        <f t="shared" ref="F202:AK202" si="76">IF(OR(F200=0,F201=0),0,F200/F201)</f>
        <v>0</v>
      </c>
      <c r="G202" s="560">
        <f t="shared" si="76"/>
        <v>0</v>
      </c>
      <c r="H202" s="560">
        <f t="shared" si="76"/>
        <v>0</v>
      </c>
      <c r="I202" s="560">
        <f t="shared" si="76"/>
        <v>0</v>
      </c>
      <c r="J202" s="560">
        <f t="shared" si="76"/>
        <v>0</v>
      </c>
      <c r="K202" s="560">
        <f t="shared" si="76"/>
        <v>0</v>
      </c>
      <c r="L202" s="560">
        <f t="shared" si="76"/>
        <v>0</v>
      </c>
      <c r="M202" s="560">
        <f t="shared" si="76"/>
        <v>0</v>
      </c>
      <c r="N202" s="560">
        <f t="shared" si="76"/>
        <v>0</v>
      </c>
      <c r="O202" s="560">
        <f t="shared" si="76"/>
        <v>0</v>
      </c>
      <c r="P202" s="560">
        <f t="shared" si="76"/>
        <v>0</v>
      </c>
      <c r="Q202" s="560">
        <f t="shared" si="76"/>
        <v>0</v>
      </c>
      <c r="R202" s="560">
        <f t="shared" si="76"/>
        <v>0</v>
      </c>
      <c r="S202" s="560">
        <f t="shared" si="76"/>
        <v>0</v>
      </c>
      <c r="T202" s="560">
        <f t="shared" si="76"/>
        <v>0</v>
      </c>
      <c r="U202" s="560">
        <f t="shared" si="76"/>
        <v>0</v>
      </c>
      <c r="V202" s="560">
        <f t="shared" si="76"/>
        <v>0</v>
      </c>
      <c r="W202" s="560">
        <f t="shared" si="76"/>
        <v>0</v>
      </c>
      <c r="X202" s="560">
        <f t="shared" si="76"/>
        <v>0</v>
      </c>
      <c r="Y202" s="560">
        <f t="shared" si="76"/>
        <v>0</v>
      </c>
      <c r="Z202" s="560">
        <f t="shared" si="76"/>
        <v>0</v>
      </c>
      <c r="AA202" s="560">
        <f t="shared" si="76"/>
        <v>0</v>
      </c>
      <c r="AB202" s="560">
        <f t="shared" si="76"/>
        <v>0</v>
      </c>
      <c r="AC202" s="560">
        <f t="shared" si="76"/>
        <v>0</v>
      </c>
      <c r="AD202" s="560">
        <f t="shared" si="76"/>
        <v>0</v>
      </c>
      <c r="AE202" s="560">
        <f t="shared" si="76"/>
        <v>0</v>
      </c>
      <c r="AF202" s="560">
        <f t="shared" si="76"/>
        <v>0</v>
      </c>
      <c r="AG202" s="560">
        <f t="shared" si="76"/>
        <v>0</v>
      </c>
      <c r="AH202" s="560">
        <f t="shared" si="76"/>
        <v>0</v>
      </c>
      <c r="AI202" s="560">
        <f t="shared" si="76"/>
        <v>0</v>
      </c>
      <c r="AJ202" s="560">
        <f t="shared" si="76"/>
        <v>0</v>
      </c>
      <c r="AK202" s="560">
        <f t="shared" si="76"/>
        <v>0</v>
      </c>
      <c r="AM202" s="175"/>
    </row>
    <row r="203" spans="1:39" ht="13.5" hidden="1" customHeight="1">
      <c r="C203" s="1012" t="s">
        <v>165</v>
      </c>
      <c r="D203" s="561"/>
      <c r="E203" s="562" t="s">
        <v>159</v>
      </c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M203" s="175"/>
    </row>
    <row r="204" spans="1:39" ht="13.5" hidden="1" customHeight="1">
      <c r="C204" s="1013"/>
      <c r="D204" s="564"/>
      <c r="E204" s="500" t="s">
        <v>22</v>
      </c>
      <c r="F204" s="548">
        <f t="shared" ref="F204:AJ204" si="77">SUM(F32:F35)</f>
        <v>0</v>
      </c>
      <c r="G204" s="548">
        <f t="shared" si="77"/>
        <v>0</v>
      </c>
      <c r="H204" s="548">
        <f t="shared" si="77"/>
        <v>0</v>
      </c>
      <c r="I204" s="548">
        <f t="shared" si="77"/>
        <v>0</v>
      </c>
      <c r="J204" s="548">
        <f t="shared" si="77"/>
        <v>0</v>
      </c>
      <c r="K204" s="548">
        <f t="shared" si="77"/>
        <v>0</v>
      </c>
      <c r="L204" s="548">
        <f t="shared" si="77"/>
        <v>0</v>
      </c>
      <c r="M204" s="548">
        <f t="shared" si="77"/>
        <v>0</v>
      </c>
      <c r="N204" s="548">
        <f t="shared" si="77"/>
        <v>0</v>
      </c>
      <c r="O204" s="548">
        <f t="shared" si="77"/>
        <v>0</v>
      </c>
      <c r="P204" s="548">
        <f t="shared" si="77"/>
        <v>0</v>
      </c>
      <c r="Q204" s="548">
        <f t="shared" si="77"/>
        <v>0</v>
      </c>
      <c r="R204" s="548">
        <f t="shared" si="77"/>
        <v>0</v>
      </c>
      <c r="S204" s="548">
        <f t="shared" si="77"/>
        <v>0</v>
      </c>
      <c r="T204" s="548">
        <f t="shared" si="77"/>
        <v>0</v>
      </c>
      <c r="U204" s="548">
        <f t="shared" si="77"/>
        <v>0</v>
      </c>
      <c r="V204" s="548">
        <f t="shared" si="77"/>
        <v>0</v>
      </c>
      <c r="W204" s="548">
        <f t="shared" si="77"/>
        <v>0</v>
      </c>
      <c r="X204" s="548">
        <f t="shared" si="77"/>
        <v>0</v>
      </c>
      <c r="Y204" s="548">
        <f t="shared" si="77"/>
        <v>0</v>
      </c>
      <c r="Z204" s="548">
        <f t="shared" si="77"/>
        <v>0</v>
      </c>
      <c r="AA204" s="548">
        <f t="shared" si="77"/>
        <v>0</v>
      </c>
      <c r="AB204" s="548">
        <f t="shared" si="77"/>
        <v>0</v>
      </c>
      <c r="AC204" s="548">
        <f t="shared" si="77"/>
        <v>0</v>
      </c>
      <c r="AD204" s="548">
        <f t="shared" si="77"/>
        <v>0</v>
      </c>
      <c r="AE204" s="548">
        <f t="shared" si="77"/>
        <v>0</v>
      </c>
      <c r="AF204" s="548">
        <f t="shared" si="77"/>
        <v>0</v>
      </c>
      <c r="AG204" s="548">
        <f t="shared" si="77"/>
        <v>0</v>
      </c>
      <c r="AH204" s="548">
        <f t="shared" si="77"/>
        <v>0</v>
      </c>
      <c r="AI204" s="548">
        <f t="shared" si="77"/>
        <v>0</v>
      </c>
      <c r="AJ204" s="548">
        <f t="shared" si="77"/>
        <v>0</v>
      </c>
      <c r="AK204" s="548">
        <f>SUM(F204:AJ204)</f>
        <v>0</v>
      </c>
      <c r="AM204" s="175"/>
    </row>
    <row r="205" spans="1:39" ht="13.5" hidden="1" customHeight="1">
      <c r="C205" s="1013"/>
      <c r="D205" s="564"/>
      <c r="E205" s="500" t="s">
        <v>151</v>
      </c>
      <c r="F205" s="548">
        <v>0</v>
      </c>
      <c r="G205" s="548">
        <v>0</v>
      </c>
      <c r="H205" s="548">
        <v>0</v>
      </c>
      <c r="I205" s="548">
        <v>0</v>
      </c>
      <c r="J205" s="548">
        <v>0</v>
      </c>
      <c r="K205" s="548">
        <v>0</v>
      </c>
      <c r="L205" s="548">
        <v>0</v>
      </c>
      <c r="M205" s="548">
        <v>0</v>
      </c>
      <c r="N205" s="548">
        <v>0</v>
      </c>
      <c r="O205" s="548">
        <v>0</v>
      </c>
      <c r="P205" s="548">
        <f t="shared" ref="P205:AJ205" si="78">P98</f>
        <v>0</v>
      </c>
      <c r="Q205" s="548">
        <f t="shared" si="78"/>
        <v>0</v>
      </c>
      <c r="R205" s="548">
        <f t="shared" si="78"/>
        <v>0</v>
      </c>
      <c r="S205" s="548">
        <f t="shared" si="78"/>
        <v>0</v>
      </c>
      <c r="T205" s="548">
        <f t="shared" si="78"/>
        <v>0</v>
      </c>
      <c r="U205" s="548">
        <f t="shared" si="78"/>
        <v>0</v>
      </c>
      <c r="V205" s="548">
        <f t="shared" si="78"/>
        <v>0</v>
      </c>
      <c r="W205" s="548">
        <f t="shared" si="78"/>
        <v>0</v>
      </c>
      <c r="X205" s="548">
        <f t="shared" si="78"/>
        <v>0</v>
      </c>
      <c r="Y205" s="548">
        <f t="shared" si="78"/>
        <v>0</v>
      </c>
      <c r="Z205" s="548">
        <f t="shared" si="78"/>
        <v>0</v>
      </c>
      <c r="AA205" s="548">
        <f t="shared" si="78"/>
        <v>0</v>
      </c>
      <c r="AB205" s="548">
        <f t="shared" si="78"/>
        <v>0</v>
      </c>
      <c r="AC205" s="548">
        <f t="shared" si="78"/>
        <v>0</v>
      </c>
      <c r="AD205" s="548">
        <f t="shared" si="78"/>
        <v>0</v>
      </c>
      <c r="AE205" s="548">
        <f t="shared" si="78"/>
        <v>0</v>
      </c>
      <c r="AF205" s="548">
        <f t="shared" si="78"/>
        <v>0</v>
      </c>
      <c r="AG205" s="548">
        <f t="shared" si="78"/>
        <v>0</v>
      </c>
      <c r="AH205" s="548">
        <f t="shared" si="78"/>
        <v>0</v>
      </c>
      <c r="AI205" s="548">
        <f t="shared" si="78"/>
        <v>0</v>
      </c>
      <c r="AJ205" s="548">
        <f t="shared" si="78"/>
        <v>0</v>
      </c>
      <c r="AK205" s="548">
        <f>SUM(F205:AJ205)</f>
        <v>0</v>
      </c>
      <c r="AM205" s="175"/>
    </row>
    <row r="206" spans="1:39" ht="13.5" hidden="1" customHeight="1">
      <c r="C206" s="1013"/>
      <c r="D206" s="564"/>
      <c r="E206" s="500" t="s">
        <v>12</v>
      </c>
      <c r="F206" s="548">
        <f t="shared" ref="F206:AK206" si="79">IF(OR(F204=0,F205=0),0,F204/F205)</f>
        <v>0</v>
      </c>
      <c r="G206" s="548">
        <f t="shared" si="79"/>
        <v>0</v>
      </c>
      <c r="H206" s="548">
        <f t="shared" si="79"/>
        <v>0</v>
      </c>
      <c r="I206" s="548">
        <f t="shared" si="79"/>
        <v>0</v>
      </c>
      <c r="J206" s="548">
        <f t="shared" si="79"/>
        <v>0</v>
      </c>
      <c r="K206" s="548">
        <f t="shared" si="79"/>
        <v>0</v>
      </c>
      <c r="L206" s="548">
        <f t="shared" si="79"/>
        <v>0</v>
      </c>
      <c r="M206" s="548">
        <f t="shared" si="79"/>
        <v>0</v>
      </c>
      <c r="N206" s="548">
        <f t="shared" si="79"/>
        <v>0</v>
      </c>
      <c r="O206" s="548">
        <f t="shared" si="79"/>
        <v>0</v>
      </c>
      <c r="P206" s="548">
        <f t="shared" si="79"/>
        <v>0</v>
      </c>
      <c r="Q206" s="548">
        <f t="shared" si="79"/>
        <v>0</v>
      </c>
      <c r="R206" s="548">
        <f t="shared" si="79"/>
        <v>0</v>
      </c>
      <c r="S206" s="548">
        <f t="shared" si="79"/>
        <v>0</v>
      </c>
      <c r="T206" s="548">
        <f t="shared" si="79"/>
        <v>0</v>
      </c>
      <c r="U206" s="548">
        <f t="shared" si="79"/>
        <v>0</v>
      </c>
      <c r="V206" s="548">
        <f t="shared" si="79"/>
        <v>0</v>
      </c>
      <c r="W206" s="548">
        <f t="shared" si="79"/>
        <v>0</v>
      </c>
      <c r="X206" s="548">
        <f t="shared" si="79"/>
        <v>0</v>
      </c>
      <c r="Y206" s="548">
        <f t="shared" si="79"/>
        <v>0</v>
      </c>
      <c r="Z206" s="548">
        <f t="shared" si="79"/>
        <v>0</v>
      </c>
      <c r="AA206" s="548">
        <f t="shared" si="79"/>
        <v>0</v>
      </c>
      <c r="AB206" s="548">
        <f t="shared" si="79"/>
        <v>0</v>
      </c>
      <c r="AC206" s="548">
        <f t="shared" si="79"/>
        <v>0</v>
      </c>
      <c r="AD206" s="548">
        <f t="shared" si="79"/>
        <v>0</v>
      </c>
      <c r="AE206" s="548">
        <f t="shared" si="79"/>
        <v>0</v>
      </c>
      <c r="AF206" s="548">
        <f t="shared" si="79"/>
        <v>0</v>
      </c>
      <c r="AG206" s="548">
        <f t="shared" si="79"/>
        <v>0</v>
      </c>
      <c r="AH206" s="548">
        <f t="shared" si="79"/>
        <v>0</v>
      </c>
      <c r="AI206" s="548">
        <f t="shared" si="79"/>
        <v>0</v>
      </c>
      <c r="AJ206" s="548">
        <f t="shared" si="79"/>
        <v>0</v>
      </c>
      <c r="AK206" s="548">
        <f t="shared" si="79"/>
        <v>0</v>
      </c>
      <c r="AM206" s="175"/>
    </row>
    <row r="207" spans="1:39" ht="13.5" hidden="1" customHeight="1">
      <c r="C207" s="565" t="s">
        <v>166</v>
      </c>
      <c r="D207" s="509"/>
      <c r="E207" s="566" t="s">
        <v>158</v>
      </c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M207" s="175"/>
    </row>
    <row r="208" spans="1:39" ht="13.5" hidden="1" customHeight="1">
      <c r="C208" s="567"/>
      <c r="D208" s="509"/>
      <c r="E208" s="511" t="s">
        <v>22</v>
      </c>
      <c r="F208" s="548">
        <v>0</v>
      </c>
      <c r="G208" s="548">
        <v>0</v>
      </c>
      <c r="H208" s="548">
        <v>0</v>
      </c>
      <c r="I208" s="548">
        <v>0</v>
      </c>
      <c r="J208" s="548">
        <v>0</v>
      </c>
      <c r="K208" s="548">
        <v>0</v>
      </c>
      <c r="L208" s="548">
        <v>0</v>
      </c>
      <c r="M208" s="548">
        <v>0</v>
      </c>
      <c r="N208" s="548">
        <v>0</v>
      </c>
      <c r="O208" s="548">
        <v>0</v>
      </c>
      <c r="P208" s="548">
        <v>0</v>
      </c>
      <c r="Q208" s="548">
        <v>0</v>
      </c>
      <c r="R208" s="548">
        <v>0</v>
      </c>
      <c r="S208" s="548">
        <v>0</v>
      </c>
      <c r="T208" s="548">
        <v>0</v>
      </c>
      <c r="U208" s="548">
        <v>0</v>
      </c>
      <c r="V208" s="548">
        <v>0</v>
      </c>
      <c r="W208" s="548">
        <v>0</v>
      </c>
      <c r="X208" s="548">
        <v>0</v>
      </c>
      <c r="Y208" s="548">
        <v>0</v>
      </c>
      <c r="Z208" s="548">
        <v>0</v>
      </c>
      <c r="AA208" s="548">
        <v>0</v>
      </c>
      <c r="AB208" s="548">
        <v>0</v>
      </c>
      <c r="AC208" s="548">
        <v>0</v>
      </c>
      <c r="AD208" s="548">
        <v>0</v>
      </c>
      <c r="AE208" s="548">
        <v>0</v>
      </c>
      <c r="AF208" s="548">
        <v>0</v>
      </c>
      <c r="AG208" s="548">
        <v>0</v>
      </c>
      <c r="AH208" s="548">
        <v>0</v>
      </c>
      <c r="AI208" s="548">
        <v>0</v>
      </c>
      <c r="AJ208" s="548">
        <v>0</v>
      </c>
      <c r="AK208" s="548">
        <f>SUM(F208:AJ208)</f>
        <v>0</v>
      </c>
      <c r="AM208" s="175"/>
    </row>
    <row r="209" spans="3:40" ht="13.5" hidden="1" customHeight="1">
      <c r="C209" s="567"/>
      <c r="D209" s="509"/>
      <c r="E209" s="511" t="s">
        <v>151</v>
      </c>
      <c r="F209" s="548">
        <v>0</v>
      </c>
      <c r="G209" s="548">
        <v>0</v>
      </c>
      <c r="H209" s="548">
        <v>0</v>
      </c>
      <c r="I209" s="548">
        <v>0</v>
      </c>
      <c r="J209" s="548">
        <v>0</v>
      </c>
      <c r="K209" s="548">
        <v>0</v>
      </c>
      <c r="L209" s="548">
        <v>0</v>
      </c>
      <c r="M209" s="548">
        <v>0</v>
      </c>
      <c r="N209" s="548">
        <v>0</v>
      </c>
      <c r="O209" s="548">
        <v>0</v>
      </c>
      <c r="P209" s="548">
        <v>0</v>
      </c>
      <c r="Q209" s="548">
        <v>0</v>
      </c>
      <c r="R209" s="548">
        <v>0</v>
      </c>
      <c r="S209" s="548">
        <v>0</v>
      </c>
      <c r="T209" s="548">
        <v>0</v>
      </c>
      <c r="U209" s="548">
        <v>0</v>
      </c>
      <c r="V209" s="548">
        <v>0</v>
      </c>
      <c r="W209" s="548">
        <v>0</v>
      </c>
      <c r="X209" s="548">
        <v>0</v>
      </c>
      <c r="Y209" s="548">
        <v>0</v>
      </c>
      <c r="Z209" s="548">
        <v>0</v>
      </c>
      <c r="AA209" s="548">
        <v>0</v>
      </c>
      <c r="AB209" s="548">
        <v>0</v>
      </c>
      <c r="AC209" s="548">
        <v>0</v>
      </c>
      <c r="AD209" s="548">
        <v>0</v>
      </c>
      <c r="AE209" s="548">
        <v>0</v>
      </c>
      <c r="AF209" s="548">
        <v>0</v>
      </c>
      <c r="AG209" s="548">
        <v>0</v>
      </c>
      <c r="AH209" s="548">
        <v>0</v>
      </c>
      <c r="AI209" s="548">
        <v>0</v>
      </c>
      <c r="AJ209" s="548">
        <v>0</v>
      </c>
      <c r="AK209" s="548">
        <f>SUM(F209:AJ209)</f>
        <v>0</v>
      </c>
      <c r="AM209" s="175"/>
    </row>
    <row r="210" spans="3:40" ht="13.5" hidden="1" customHeight="1">
      <c r="C210" s="567"/>
      <c r="D210" s="509"/>
      <c r="E210" s="511" t="s">
        <v>12</v>
      </c>
      <c r="F210" s="548">
        <v>0</v>
      </c>
      <c r="G210" s="548">
        <v>0</v>
      </c>
      <c r="H210" s="548">
        <v>0</v>
      </c>
      <c r="I210" s="548">
        <v>0</v>
      </c>
      <c r="J210" s="548">
        <v>0</v>
      </c>
      <c r="K210" s="548">
        <v>0</v>
      </c>
      <c r="L210" s="548">
        <v>0</v>
      </c>
      <c r="M210" s="548">
        <v>0</v>
      </c>
      <c r="N210" s="548">
        <v>0</v>
      </c>
      <c r="O210" s="548">
        <v>0</v>
      </c>
      <c r="P210" s="548">
        <v>0</v>
      </c>
      <c r="Q210" s="548">
        <v>0</v>
      </c>
      <c r="R210" s="548">
        <v>0</v>
      </c>
      <c r="S210" s="548">
        <v>0</v>
      </c>
      <c r="T210" s="548">
        <v>0</v>
      </c>
      <c r="U210" s="548">
        <v>0</v>
      </c>
      <c r="V210" s="548">
        <v>0</v>
      </c>
      <c r="W210" s="548">
        <v>0</v>
      </c>
      <c r="X210" s="548">
        <v>0</v>
      </c>
      <c r="Y210" s="548">
        <v>0</v>
      </c>
      <c r="Z210" s="548">
        <v>0</v>
      </c>
      <c r="AA210" s="548">
        <v>0</v>
      </c>
      <c r="AB210" s="548">
        <v>0</v>
      </c>
      <c r="AC210" s="548">
        <v>0</v>
      </c>
      <c r="AD210" s="548">
        <v>0</v>
      </c>
      <c r="AE210" s="548">
        <v>0</v>
      </c>
      <c r="AF210" s="548">
        <v>0</v>
      </c>
      <c r="AG210" s="548">
        <v>0</v>
      </c>
      <c r="AH210" s="548">
        <v>0</v>
      </c>
      <c r="AI210" s="548">
        <v>0</v>
      </c>
      <c r="AJ210" s="548">
        <v>0</v>
      </c>
      <c r="AK210" s="548">
        <f>IF(OR(AK208=0,AK209=0),0,AK208/AK209)</f>
        <v>0</v>
      </c>
      <c r="AM210" s="175"/>
    </row>
    <row r="211" spans="3:40" ht="13.5" hidden="1" customHeight="1">
      <c r="C211" s="567"/>
      <c r="D211" s="1020"/>
      <c r="E211" s="1021"/>
      <c r="F211" s="568"/>
      <c r="G211" s="568"/>
      <c r="H211" s="568"/>
      <c r="I211" s="568"/>
      <c r="J211" s="568"/>
      <c r="K211" s="568"/>
      <c r="L211" s="568"/>
      <c r="M211" s="568"/>
      <c r="N211" s="568"/>
      <c r="O211" s="568"/>
      <c r="P211" s="568"/>
      <c r="Q211" s="568"/>
      <c r="R211" s="568"/>
      <c r="S211" s="568"/>
      <c r="T211" s="568"/>
      <c r="U211" s="568"/>
      <c r="V211" s="568"/>
      <c r="W211" s="568"/>
      <c r="X211" s="568"/>
      <c r="Y211" s="568"/>
      <c r="Z211" s="568"/>
      <c r="AA211" s="568"/>
      <c r="AB211" s="568"/>
      <c r="AC211" s="568"/>
      <c r="AD211" s="568"/>
      <c r="AE211" s="568"/>
      <c r="AF211" s="568"/>
      <c r="AG211" s="568"/>
      <c r="AH211" s="568"/>
      <c r="AI211" s="568"/>
      <c r="AJ211" s="568"/>
      <c r="AK211" s="568"/>
      <c r="AM211" s="175"/>
    </row>
    <row r="212" spans="3:40" s="354" customFormat="1" ht="13.5" customHeight="1">
      <c r="C212" s="1014" t="s">
        <v>167</v>
      </c>
      <c r="D212" s="1040" t="s">
        <v>22</v>
      </c>
      <c r="E212" s="1041"/>
      <c r="F212" s="545">
        <f>F52</f>
        <v>424.5</v>
      </c>
      <c r="G212" s="545">
        <f t="shared" ref="G212:AJ212" si="80">G52</f>
        <v>1168.5</v>
      </c>
      <c r="H212" s="545">
        <f t="shared" si="80"/>
        <v>1930.5</v>
      </c>
      <c r="I212" s="545">
        <f t="shared" si="80"/>
        <v>1350</v>
      </c>
      <c r="J212" s="545">
        <f t="shared" si="80"/>
        <v>1917</v>
      </c>
      <c r="K212" s="545">
        <f t="shared" si="80"/>
        <v>0</v>
      </c>
      <c r="L212" s="545">
        <f t="shared" si="80"/>
        <v>1809</v>
      </c>
      <c r="M212" s="545">
        <f t="shared" si="80"/>
        <v>0</v>
      </c>
      <c r="N212" s="545">
        <f t="shared" si="80"/>
        <v>0</v>
      </c>
      <c r="O212" s="545">
        <f t="shared" si="80"/>
        <v>0</v>
      </c>
      <c r="P212" s="545">
        <f t="shared" si="80"/>
        <v>0</v>
      </c>
      <c r="Q212" s="545">
        <f t="shared" si="80"/>
        <v>0</v>
      </c>
      <c r="R212" s="545">
        <f t="shared" si="80"/>
        <v>0</v>
      </c>
      <c r="S212" s="545">
        <f t="shared" si="80"/>
        <v>0</v>
      </c>
      <c r="T212" s="545">
        <f t="shared" si="80"/>
        <v>0</v>
      </c>
      <c r="U212" s="545">
        <f t="shared" si="80"/>
        <v>0</v>
      </c>
      <c r="V212" s="545">
        <f t="shared" si="80"/>
        <v>0</v>
      </c>
      <c r="W212" s="545">
        <f t="shared" si="80"/>
        <v>0</v>
      </c>
      <c r="X212" s="545">
        <f t="shared" si="80"/>
        <v>0</v>
      </c>
      <c r="Y212" s="545">
        <f t="shared" si="80"/>
        <v>0</v>
      </c>
      <c r="Z212" s="545">
        <f t="shared" si="80"/>
        <v>0</v>
      </c>
      <c r="AA212" s="545">
        <f t="shared" si="80"/>
        <v>0</v>
      </c>
      <c r="AB212" s="545">
        <f t="shared" si="80"/>
        <v>0</v>
      </c>
      <c r="AC212" s="545">
        <f t="shared" si="80"/>
        <v>0</v>
      </c>
      <c r="AD212" s="545">
        <f t="shared" si="80"/>
        <v>0</v>
      </c>
      <c r="AE212" s="545">
        <f t="shared" si="80"/>
        <v>0</v>
      </c>
      <c r="AF212" s="545">
        <f t="shared" si="80"/>
        <v>0</v>
      </c>
      <c r="AG212" s="545">
        <f t="shared" si="80"/>
        <v>0</v>
      </c>
      <c r="AH212" s="545">
        <f t="shared" si="80"/>
        <v>0</v>
      </c>
      <c r="AI212" s="545">
        <f t="shared" si="80"/>
        <v>0</v>
      </c>
      <c r="AJ212" s="545">
        <f t="shared" si="80"/>
        <v>0</v>
      </c>
      <c r="AK212" s="613">
        <f>SUM(F212:AJ212)</f>
        <v>8599.5</v>
      </c>
      <c r="AM212" s="614">
        <f>SUMIFS($F$212:$AJ$212,$F$172:$AJ$172,DAY(Summary!D3))</f>
        <v>1809</v>
      </c>
    </row>
    <row r="213" spans="3:40" ht="13.5" customHeight="1">
      <c r="C213" s="1015"/>
      <c r="D213" s="1054" t="s">
        <v>151</v>
      </c>
      <c r="E213" s="569" t="s">
        <v>161</v>
      </c>
      <c r="F213" s="523">
        <v>0</v>
      </c>
      <c r="G213" s="523">
        <v>0</v>
      </c>
      <c r="H213" s="523">
        <v>0</v>
      </c>
      <c r="I213" s="523">
        <v>0</v>
      </c>
      <c r="J213" s="523">
        <v>0</v>
      </c>
      <c r="K213" s="523">
        <v>0</v>
      </c>
      <c r="L213" s="523">
        <v>0</v>
      </c>
      <c r="M213" s="523">
        <v>0</v>
      </c>
      <c r="N213" s="523">
        <v>0</v>
      </c>
      <c r="O213" s="523">
        <v>0</v>
      </c>
      <c r="P213" s="523">
        <v>0</v>
      </c>
      <c r="Q213" s="523">
        <v>0</v>
      </c>
      <c r="R213" s="523">
        <v>0</v>
      </c>
      <c r="S213" s="523">
        <v>0</v>
      </c>
      <c r="T213" s="523">
        <v>0</v>
      </c>
      <c r="U213" s="523">
        <v>0</v>
      </c>
      <c r="V213" s="523">
        <v>0</v>
      </c>
      <c r="W213" s="523">
        <v>0</v>
      </c>
      <c r="X213" s="523">
        <v>0</v>
      </c>
      <c r="Y213" s="523">
        <v>0</v>
      </c>
      <c r="Z213" s="523">
        <v>0</v>
      </c>
      <c r="AA213" s="523">
        <v>0</v>
      </c>
      <c r="AB213" s="523">
        <v>0</v>
      </c>
      <c r="AC213" s="523">
        <v>0</v>
      </c>
      <c r="AD213" s="523">
        <v>0</v>
      </c>
      <c r="AE213" s="523">
        <v>0</v>
      </c>
      <c r="AF213" s="523">
        <v>0</v>
      </c>
      <c r="AG213" s="523">
        <v>0</v>
      </c>
      <c r="AH213" s="523">
        <v>0</v>
      </c>
      <c r="AI213" s="523">
        <v>0</v>
      </c>
      <c r="AJ213" s="523">
        <v>0</v>
      </c>
      <c r="AK213" s="615">
        <f>SUM(F213:AJ213)</f>
        <v>0</v>
      </c>
      <c r="AM213" s="175"/>
    </row>
    <row r="214" spans="3:40" ht="13.5" customHeight="1">
      <c r="C214" s="1015"/>
      <c r="D214" s="1054"/>
      <c r="E214" s="570" t="s">
        <v>162</v>
      </c>
      <c r="F214" s="548">
        <v>0</v>
      </c>
      <c r="G214" s="548">
        <v>0</v>
      </c>
      <c r="H214" s="548">
        <v>0</v>
      </c>
      <c r="I214" s="548">
        <v>0</v>
      </c>
      <c r="J214" s="548">
        <v>0</v>
      </c>
      <c r="K214" s="548">
        <v>0</v>
      </c>
      <c r="L214" s="548">
        <v>0</v>
      </c>
      <c r="M214" s="548">
        <v>0</v>
      </c>
      <c r="N214" s="548">
        <v>0</v>
      </c>
      <c r="O214" s="548">
        <v>0</v>
      </c>
      <c r="P214" s="548">
        <v>0</v>
      </c>
      <c r="Q214" s="548">
        <v>0</v>
      </c>
      <c r="R214" s="548">
        <v>0</v>
      </c>
      <c r="S214" s="548">
        <v>0</v>
      </c>
      <c r="T214" s="548">
        <v>0</v>
      </c>
      <c r="U214" s="548">
        <v>0</v>
      </c>
      <c r="V214" s="548">
        <v>0</v>
      </c>
      <c r="W214" s="548">
        <v>0</v>
      </c>
      <c r="X214" s="548">
        <v>0</v>
      </c>
      <c r="Y214" s="548">
        <v>0</v>
      </c>
      <c r="Z214" s="548">
        <v>0</v>
      </c>
      <c r="AA214" s="548">
        <v>0</v>
      </c>
      <c r="AB214" s="548">
        <v>0</v>
      </c>
      <c r="AC214" s="548">
        <v>0</v>
      </c>
      <c r="AD214" s="548">
        <v>0</v>
      </c>
      <c r="AE214" s="548">
        <v>0</v>
      </c>
      <c r="AF214" s="548">
        <v>0</v>
      </c>
      <c r="AG214" s="548">
        <v>0</v>
      </c>
      <c r="AH214" s="548">
        <v>0</v>
      </c>
      <c r="AI214" s="548">
        <v>0</v>
      </c>
      <c r="AJ214" s="548">
        <v>0</v>
      </c>
      <c r="AK214" s="616">
        <f>SUM(F214:AJ214)</f>
        <v>0</v>
      </c>
      <c r="AM214" s="175"/>
    </row>
    <row r="215" spans="3:40" s="354" customFormat="1" ht="13.5" customHeight="1">
      <c r="C215" s="1015"/>
      <c r="D215" s="1054"/>
      <c r="E215" s="549" t="s">
        <v>110</v>
      </c>
      <c r="F215" s="550">
        <f t="shared" ref="F215:AJ215" si="81">SUM(F213:F214)</f>
        <v>0</v>
      </c>
      <c r="G215" s="550">
        <f t="shared" si="81"/>
        <v>0</v>
      </c>
      <c r="H215" s="550">
        <f t="shared" si="81"/>
        <v>0</v>
      </c>
      <c r="I215" s="550">
        <f t="shared" si="81"/>
        <v>0</v>
      </c>
      <c r="J215" s="550">
        <f t="shared" si="81"/>
        <v>0</v>
      </c>
      <c r="K215" s="550">
        <f t="shared" si="81"/>
        <v>0</v>
      </c>
      <c r="L215" s="550">
        <f t="shared" si="81"/>
        <v>0</v>
      </c>
      <c r="M215" s="550">
        <f t="shared" si="81"/>
        <v>0</v>
      </c>
      <c r="N215" s="550">
        <f t="shared" si="81"/>
        <v>0</v>
      </c>
      <c r="O215" s="550">
        <f t="shared" si="81"/>
        <v>0</v>
      </c>
      <c r="P215" s="550">
        <f t="shared" si="81"/>
        <v>0</v>
      </c>
      <c r="Q215" s="550">
        <f t="shared" si="81"/>
        <v>0</v>
      </c>
      <c r="R215" s="550">
        <f t="shared" si="81"/>
        <v>0</v>
      </c>
      <c r="S215" s="550">
        <f t="shared" si="81"/>
        <v>0</v>
      </c>
      <c r="T215" s="550">
        <f t="shared" si="81"/>
        <v>0</v>
      </c>
      <c r="U215" s="550">
        <f t="shared" si="81"/>
        <v>0</v>
      </c>
      <c r="V215" s="550">
        <f t="shared" si="81"/>
        <v>0</v>
      </c>
      <c r="W215" s="550">
        <f t="shared" si="81"/>
        <v>0</v>
      </c>
      <c r="X215" s="550">
        <f t="shared" si="81"/>
        <v>0</v>
      </c>
      <c r="Y215" s="550">
        <f t="shared" si="81"/>
        <v>0</v>
      </c>
      <c r="Z215" s="550">
        <f t="shared" si="81"/>
        <v>0</v>
      </c>
      <c r="AA215" s="550">
        <f t="shared" si="81"/>
        <v>0</v>
      </c>
      <c r="AB215" s="550">
        <f t="shared" si="81"/>
        <v>0</v>
      </c>
      <c r="AC215" s="550">
        <f t="shared" si="81"/>
        <v>0</v>
      </c>
      <c r="AD215" s="550">
        <f t="shared" si="81"/>
        <v>0</v>
      </c>
      <c r="AE215" s="550">
        <f t="shared" si="81"/>
        <v>0</v>
      </c>
      <c r="AF215" s="550">
        <f t="shared" si="81"/>
        <v>0</v>
      </c>
      <c r="AG215" s="550">
        <f t="shared" si="81"/>
        <v>0</v>
      </c>
      <c r="AH215" s="550">
        <f t="shared" si="81"/>
        <v>0</v>
      </c>
      <c r="AI215" s="550">
        <f t="shared" si="81"/>
        <v>0</v>
      </c>
      <c r="AJ215" s="550">
        <f t="shared" si="81"/>
        <v>0</v>
      </c>
      <c r="AK215" s="550">
        <f>SUM(F215:AJ215)</f>
        <v>0</v>
      </c>
      <c r="AM215" s="617">
        <f>SUMIFS($F$215:$AJ$215,$F$172:$AJ$172,DAY(Summary!D3))</f>
        <v>0</v>
      </c>
    </row>
    <row r="216" spans="3:40" ht="12.75" customHeight="1">
      <c r="C216" s="1016"/>
      <c r="D216" s="1042" t="s">
        <v>12</v>
      </c>
      <c r="E216" s="1043"/>
      <c r="F216" s="551">
        <f t="shared" ref="F216:AK216" si="82">IF(OR(F212=0,F215=0),0,F212/F215)</f>
        <v>0</v>
      </c>
      <c r="G216" s="551">
        <f t="shared" si="82"/>
        <v>0</v>
      </c>
      <c r="H216" s="551">
        <f t="shared" si="82"/>
        <v>0</v>
      </c>
      <c r="I216" s="551">
        <f t="shared" si="82"/>
        <v>0</v>
      </c>
      <c r="J216" s="551">
        <f t="shared" si="82"/>
        <v>0</v>
      </c>
      <c r="K216" s="551">
        <f t="shared" si="82"/>
        <v>0</v>
      </c>
      <c r="L216" s="551">
        <f t="shared" si="82"/>
        <v>0</v>
      </c>
      <c r="M216" s="551">
        <f t="shared" si="82"/>
        <v>0</v>
      </c>
      <c r="N216" s="551">
        <f t="shared" si="82"/>
        <v>0</v>
      </c>
      <c r="O216" s="551">
        <f t="shared" si="82"/>
        <v>0</v>
      </c>
      <c r="P216" s="551">
        <f t="shared" si="82"/>
        <v>0</v>
      </c>
      <c r="Q216" s="551">
        <f t="shared" si="82"/>
        <v>0</v>
      </c>
      <c r="R216" s="551">
        <f t="shared" si="82"/>
        <v>0</v>
      </c>
      <c r="S216" s="551">
        <f t="shared" si="82"/>
        <v>0</v>
      </c>
      <c r="T216" s="551">
        <f t="shared" si="82"/>
        <v>0</v>
      </c>
      <c r="U216" s="551">
        <f t="shared" si="82"/>
        <v>0</v>
      </c>
      <c r="V216" s="551">
        <f t="shared" si="82"/>
        <v>0</v>
      </c>
      <c r="W216" s="551">
        <f t="shared" si="82"/>
        <v>0</v>
      </c>
      <c r="X216" s="551">
        <f t="shared" si="82"/>
        <v>0</v>
      </c>
      <c r="Y216" s="551">
        <f t="shared" si="82"/>
        <v>0</v>
      </c>
      <c r="Z216" s="551">
        <f t="shared" si="82"/>
        <v>0</v>
      </c>
      <c r="AA216" s="551">
        <f t="shared" si="82"/>
        <v>0</v>
      </c>
      <c r="AB216" s="551">
        <f t="shared" si="82"/>
        <v>0</v>
      </c>
      <c r="AC216" s="551">
        <f t="shared" si="82"/>
        <v>0</v>
      </c>
      <c r="AD216" s="551">
        <f t="shared" si="82"/>
        <v>0</v>
      </c>
      <c r="AE216" s="551">
        <f t="shared" si="82"/>
        <v>0</v>
      </c>
      <c r="AF216" s="551">
        <f t="shared" si="82"/>
        <v>0</v>
      </c>
      <c r="AG216" s="551">
        <f t="shared" si="82"/>
        <v>0</v>
      </c>
      <c r="AH216" s="551">
        <f t="shared" si="82"/>
        <v>0</v>
      </c>
      <c r="AI216" s="551">
        <f t="shared" si="82"/>
        <v>0</v>
      </c>
      <c r="AJ216" s="551">
        <f t="shared" si="82"/>
        <v>0</v>
      </c>
      <c r="AK216" s="551">
        <f t="shared" si="82"/>
        <v>0</v>
      </c>
    </row>
    <row r="217" spans="3:40" ht="12.75" hidden="1" customHeight="1">
      <c r="C217" s="567"/>
      <c r="D217" s="509"/>
      <c r="E217" s="514" t="s">
        <v>156</v>
      </c>
      <c r="F217" s="571"/>
      <c r="G217" s="571"/>
      <c r="H217" s="571"/>
      <c r="I217" s="571"/>
      <c r="J217" s="571"/>
      <c r="K217" s="571"/>
      <c r="L217" s="571"/>
      <c r="M217" s="571"/>
      <c r="N217" s="571"/>
      <c r="O217" s="571"/>
      <c r="P217" s="571"/>
      <c r="Q217" s="571"/>
      <c r="R217" s="571"/>
      <c r="S217" s="571"/>
      <c r="T217" s="571"/>
      <c r="U217" s="571"/>
      <c r="V217" s="571"/>
      <c r="W217" s="571"/>
      <c r="X217" s="571"/>
      <c r="Y217" s="571"/>
      <c r="Z217" s="571"/>
      <c r="AA217" s="571"/>
      <c r="AB217" s="571"/>
      <c r="AC217" s="571"/>
      <c r="AD217" s="571"/>
      <c r="AE217" s="571"/>
      <c r="AF217" s="571"/>
      <c r="AG217" s="571"/>
      <c r="AH217" s="571"/>
      <c r="AI217" s="571"/>
      <c r="AJ217" s="571"/>
      <c r="AK217" s="571"/>
    </row>
    <row r="218" spans="3:40" ht="12.75" hidden="1" customHeight="1">
      <c r="C218" s="567"/>
      <c r="D218" s="509"/>
      <c r="E218" s="385" t="s">
        <v>157</v>
      </c>
      <c r="F218" s="493"/>
      <c r="G218" s="493"/>
      <c r="H218" s="493"/>
      <c r="I218" s="493"/>
      <c r="J218" s="493"/>
      <c r="K218" s="493"/>
      <c r="L218" s="493"/>
      <c r="M218" s="493"/>
      <c r="N218" s="493"/>
      <c r="O218" s="493"/>
      <c r="P218" s="493"/>
      <c r="Q218" s="493"/>
      <c r="R218" s="493"/>
      <c r="S218" s="493"/>
      <c r="T218" s="493"/>
      <c r="U218" s="493"/>
      <c r="V218" s="493"/>
      <c r="W218" s="493"/>
      <c r="X218" s="493"/>
      <c r="Y218" s="493"/>
      <c r="Z218" s="493"/>
      <c r="AA218" s="493"/>
      <c r="AB218" s="493"/>
      <c r="AC218" s="493"/>
      <c r="AD218" s="493"/>
      <c r="AE218" s="493"/>
      <c r="AF218" s="493"/>
      <c r="AG218" s="493"/>
      <c r="AH218" s="493"/>
      <c r="AI218" s="493"/>
      <c r="AJ218" s="493"/>
      <c r="AK218" s="493"/>
    </row>
    <row r="219" spans="3:40" ht="12.75" hidden="1" customHeight="1">
      <c r="C219" s="567"/>
      <c r="D219" s="509"/>
      <c r="E219" s="572" t="s">
        <v>163</v>
      </c>
      <c r="F219" s="573"/>
      <c r="G219" s="573"/>
      <c r="H219" s="573"/>
      <c r="I219" s="573"/>
      <c r="J219" s="573"/>
      <c r="K219" s="573"/>
      <c r="L219" s="573"/>
      <c r="M219" s="573"/>
      <c r="N219" s="573"/>
      <c r="O219" s="573"/>
      <c r="P219" s="573"/>
      <c r="Q219" s="573"/>
      <c r="R219" s="573"/>
      <c r="S219" s="573"/>
      <c r="T219" s="573"/>
      <c r="U219" s="573"/>
      <c r="V219" s="573"/>
      <c r="W219" s="573"/>
      <c r="X219" s="573"/>
      <c r="Y219" s="573"/>
      <c r="Z219" s="573"/>
      <c r="AA219" s="573"/>
      <c r="AB219" s="573"/>
      <c r="AC219" s="573"/>
      <c r="AD219" s="573"/>
      <c r="AE219" s="573"/>
      <c r="AF219" s="573"/>
      <c r="AG219" s="573"/>
      <c r="AH219" s="573"/>
      <c r="AI219" s="573"/>
      <c r="AJ219" s="573"/>
      <c r="AK219" s="619" t="s">
        <v>168</v>
      </c>
    </row>
    <row r="220" spans="3:40" ht="12.75" hidden="1" customHeight="1">
      <c r="C220" s="567"/>
      <c r="D220" s="509"/>
      <c r="E220" s="574" t="s">
        <v>22</v>
      </c>
      <c r="F220" s="555">
        <f t="shared" ref="F220:AK220" si="83">F212</f>
        <v>424.5</v>
      </c>
      <c r="G220" s="555">
        <f t="shared" si="83"/>
        <v>1168.5</v>
      </c>
      <c r="H220" s="555">
        <f t="shared" si="83"/>
        <v>1930.5</v>
      </c>
      <c r="I220" s="555">
        <f t="shared" si="83"/>
        <v>1350</v>
      </c>
      <c r="J220" s="555">
        <f t="shared" si="83"/>
        <v>1917</v>
      </c>
      <c r="K220" s="555">
        <f t="shared" si="83"/>
        <v>0</v>
      </c>
      <c r="L220" s="555">
        <f t="shared" si="83"/>
        <v>1809</v>
      </c>
      <c r="M220" s="555">
        <f t="shared" si="83"/>
        <v>0</v>
      </c>
      <c r="N220" s="555">
        <f t="shared" si="83"/>
        <v>0</v>
      </c>
      <c r="O220" s="555">
        <f t="shared" si="83"/>
        <v>0</v>
      </c>
      <c r="P220" s="555">
        <f t="shared" si="83"/>
        <v>0</v>
      </c>
      <c r="Q220" s="555">
        <f t="shared" si="83"/>
        <v>0</v>
      </c>
      <c r="R220" s="555">
        <f t="shared" si="83"/>
        <v>0</v>
      </c>
      <c r="S220" s="555">
        <f t="shared" si="83"/>
        <v>0</v>
      </c>
      <c r="T220" s="555">
        <f t="shared" si="83"/>
        <v>0</v>
      </c>
      <c r="U220" s="555">
        <f t="shared" si="83"/>
        <v>0</v>
      </c>
      <c r="V220" s="555">
        <f t="shared" si="83"/>
        <v>0</v>
      </c>
      <c r="W220" s="555">
        <f t="shared" si="83"/>
        <v>0</v>
      </c>
      <c r="X220" s="555">
        <f t="shared" si="83"/>
        <v>0</v>
      </c>
      <c r="Y220" s="555">
        <f t="shared" si="83"/>
        <v>0</v>
      </c>
      <c r="Z220" s="555">
        <f t="shared" si="83"/>
        <v>0</v>
      </c>
      <c r="AA220" s="555">
        <f t="shared" si="83"/>
        <v>0</v>
      </c>
      <c r="AB220" s="555">
        <f t="shared" si="83"/>
        <v>0</v>
      </c>
      <c r="AC220" s="555">
        <f t="shared" si="83"/>
        <v>0</v>
      </c>
      <c r="AD220" s="555">
        <f t="shared" si="83"/>
        <v>0</v>
      </c>
      <c r="AE220" s="555">
        <f t="shared" si="83"/>
        <v>0</v>
      </c>
      <c r="AF220" s="555">
        <f t="shared" si="83"/>
        <v>0</v>
      </c>
      <c r="AG220" s="555">
        <f t="shared" si="83"/>
        <v>0</v>
      </c>
      <c r="AH220" s="555">
        <f t="shared" si="83"/>
        <v>0</v>
      </c>
      <c r="AI220" s="555">
        <f t="shared" si="83"/>
        <v>0</v>
      </c>
      <c r="AJ220" s="555">
        <f t="shared" si="83"/>
        <v>0</v>
      </c>
      <c r="AK220" s="555">
        <f t="shared" si="83"/>
        <v>8599.5</v>
      </c>
    </row>
    <row r="221" spans="3:40" ht="12.75" hidden="1" customHeight="1">
      <c r="C221" s="567"/>
      <c r="D221" s="509"/>
      <c r="E221" s="575" t="s">
        <v>151</v>
      </c>
      <c r="F221" s="557">
        <f t="shared" ref="F221:AJ221" si="84">F215</f>
        <v>0</v>
      </c>
      <c r="G221" s="557">
        <f t="shared" si="84"/>
        <v>0</v>
      </c>
      <c r="H221" s="557">
        <f t="shared" si="84"/>
        <v>0</v>
      </c>
      <c r="I221" s="557">
        <f t="shared" si="84"/>
        <v>0</v>
      </c>
      <c r="J221" s="557">
        <f t="shared" si="84"/>
        <v>0</v>
      </c>
      <c r="K221" s="557">
        <f t="shared" si="84"/>
        <v>0</v>
      </c>
      <c r="L221" s="557">
        <f t="shared" si="84"/>
        <v>0</v>
      </c>
      <c r="M221" s="557">
        <f t="shared" si="84"/>
        <v>0</v>
      </c>
      <c r="N221" s="557">
        <f t="shared" si="84"/>
        <v>0</v>
      </c>
      <c r="O221" s="557">
        <f t="shared" si="84"/>
        <v>0</v>
      </c>
      <c r="P221" s="557">
        <f t="shared" si="84"/>
        <v>0</v>
      </c>
      <c r="Q221" s="557">
        <f t="shared" si="84"/>
        <v>0</v>
      </c>
      <c r="R221" s="557">
        <f t="shared" si="84"/>
        <v>0</v>
      </c>
      <c r="S221" s="557">
        <f t="shared" si="84"/>
        <v>0</v>
      </c>
      <c r="T221" s="557">
        <f t="shared" si="84"/>
        <v>0</v>
      </c>
      <c r="U221" s="557">
        <f t="shared" si="84"/>
        <v>0</v>
      </c>
      <c r="V221" s="557">
        <f t="shared" si="84"/>
        <v>0</v>
      </c>
      <c r="W221" s="557">
        <f t="shared" si="84"/>
        <v>0</v>
      </c>
      <c r="X221" s="557">
        <f t="shared" si="84"/>
        <v>0</v>
      </c>
      <c r="Y221" s="557">
        <f t="shared" si="84"/>
        <v>0</v>
      </c>
      <c r="Z221" s="557">
        <f t="shared" si="84"/>
        <v>0</v>
      </c>
      <c r="AA221" s="557">
        <f t="shared" si="84"/>
        <v>0</v>
      </c>
      <c r="AB221" s="557">
        <f t="shared" si="84"/>
        <v>0</v>
      </c>
      <c r="AC221" s="557">
        <f t="shared" si="84"/>
        <v>0</v>
      </c>
      <c r="AD221" s="557">
        <f t="shared" si="84"/>
        <v>0</v>
      </c>
      <c r="AE221" s="557">
        <f t="shared" si="84"/>
        <v>0</v>
      </c>
      <c r="AF221" s="557">
        <f t="shared" si="84"/>
        <v>0</v>
      </c>
      <c r="AG221" s="557">
        <f t="shared" si="84"/>
        <v>0</v>
      </c>
      <c r="AH221" s="557">
        <f t="shared" si="84"/>
        <v>0</v>
      </c>
      <c r="AI221" s="557">
        <f t="shared" si="84"/>
        <v>0</v>
      </c>
      <c r="AJ221" s="557">
        <f t="shared" si="84"/>
        <v>0</v>
      </c>
      <c r="AK221" s="557">
        <f>SUM(AK205,AK215)</f>
        <v>0</v>
      </c>
    </row>
    <row r="222" spans="3:40" ht="12.75" hidden="1" customHeight="1">
      <c r="C222" s="567"/>
      <c r="D222" s="509"/>
      <c r="E222" s="575" t="s">
        <v>12</v>
      </c>
      <c r="F222" s="576">
        <f t="shared" ref="F222:AK222" si="85">IF(OR(F220=0,F221=0),0,F220/F221)</f>
        <v>0</v>
      </c>
      <c r="G222" s="576">
        <f t="shared" si="85"/>
        <v>0</v>
      </c>
      <c r="H222" s="576">
        <f t="shared" si="85"/>
        <v>0</v>
      </c>
      <c r="I222" s="576">
        <f t="shared" si="85"/>
        <v>0</v>
      </c>
      <c r="J222" s="576">
        <f t="shared" si="85"/>
        <v>0</v>
      </c>
      <c r="K222" s="576">
        <f t="shared" si="85"/>
        <v>0</v>
      </c>
      <c r="L222" s="576">
        <f t="shared" si="85"/>
        <v>0</v>
      </c>
      <c r="M222" s="576">
        <f t="shared" si="85"/>
        <v>0</v>
      </c>
      <c r="N222" s="576">
        <f t="shared" si="85"/>
        <v>0</v>
      </c>
      <c r="O222" s="576">
        <f t="shared" si="85"/>
        <v>0</v>
      </c>
      <c r="P222" s="576">
        <f t="shared" si="85"/>
        <v>0</v>
      </c>
      <c r="Q222" s="576">
        <f t="shared" si="85"/>
        <v>0</v>
      </c>
      <c r="R222" s="576">
        <f t="shared" si="85"/>
        <v>0</v>
      </c>
      <c r="S222" s="576">
        <f t="shared" si="85"/>
        <v>0</v>
      </c>
      <c r="T222" s="576">
        <f t="shared" si="85"/>
        <v>0</v>
      </c>
      <c r="U222" s="576">
        <f t="shared" si="85"/>
        <v>0</v>
      </c>
      <c r="V222" s="576">
        <f t="shared" si="85"/>
        <v>0</v>
      </c>
      <c r="W222" s="576">
        <f t="shared" si="85"/>
        <v>0</v>
      </c>
      <c r="X222" s="576">
        <f t="shared" si="85"/>
        <v>0</v>
      </c>
      <c r="Y222" s="576">
        <f t="shared" si="85"/>
        <v>0</v>
      </c>
      <c r="Z222" s="576">
        <f t="shared" si="85"/>
        <v>0</v>
      </c>
      <c r="AA222" s="576">
        <f t="shared" si="85"/>
        <v>0</v>
      </c>
      <c r="AB222" s="576">
        <f t="shared" si="85"/>
        <v>0</v>
      </c>
      <c r="AC222" s="576">
        <f t="shared" si="85"/>
        <v>0</v>
      </c>
      <c r="AD222" s="576">
        <f t="shared" si="85"/>
        <v>0</v>
      </c>
      <c r="AE222" s="576">
        <f t="shared" si="85"/>
        <v>0</v>
      </c>
      <c r="AF222" s="576">
        <f t="shared" si="85"/>
        <v>0</v>
      </c>
      <c r="AG222" s="576">
        <f t="shared" si="85"/>
        <v>0</v>
      </c>
      <c r="AH222" s="576">
        <f t="shared" si="85"/>
        <v>0</v>
      </c>
      <c r="AI222" s="576">
        <f t="shared" si="85"/>
        <v>0</v>
      </c>
      <c r="AJ222" s="576">
        <f t="shared" si="85"/>
        <v>0</v>
      </c>
      <c r="AK222" s="576">
        <f t="shared" si="85"/>
        <v>0</v>
      </c>
    </row>
    <row r="223" spans="3:40" s="354" customFormat="1" ht="12.75" customHeight="1">
      <c r="C223" s="1017" t="s">
        <v>110</v>
      </c>
      <c r="D223" s="1044" t="s">
        <v>22</v>
      </c>
      <c r="E223" s="1045"/>
      <c r="F223" s="577">
        <f>F212</f>
        <v>424.5</v>
      </c>
      <c r="G223" s="577">
        <f t="shared" ref="G223:AJ223" si="86">G212</f>
        <v>1168.5</v>
      </c>
      <c r="H223" s="577">
        <f t="shared" si="86"/>
        <v>1930.5</v>
      </c>
      <c r="I223" s="577">
        <f t="shared" si="86"/>
        <v>1350</v>
      </c>
      <c r="J223" s="577">
        <f t="shared" si="86"/>
        <v>1917</v>
      </c>
      <c r="K223" s="577">
        <f t="shared" si="86"/>
        <v>0</v>
      </c>
      <c r="L223" s="577">
        <f t="shared" si="86"/>
        <v>1809</v>
      </c>
      <c r="M223" s="577">
        <f t="shared" si="86"/>
        <v>0</v>
      </c>
      <c r="N223" s="577">
        <f t="shared" si="86"/>
        <v>0</v>
      </c>
      <c r="O223" s="577">
        <f t="shared" si="86"/>
        <v>0</v>
      </c>
      <c r="P223" s="577">
        <f t="shared" si="86"/>
        <v>0</v>
      </c>
      <c r="Q223" s="577">
        <f t="shared" si="86"/>
        <v>0</v>
      </c>
      <c r="R223" s="577">
        <f t="shared" si="86"/>
        <v>0</v>
      </c>
      <c r="S223" s="577">
        <f t="shared" si="86"/>
        <v>0</v>
      </c>
      <c r="T223" s="577">
        <f t="shared" si="86"/>
        <v>0</v>
      </c>
      <c r="U223" s="577">
        <f t="shared" si="86"/>
        <v>0</v>
      </c>
      <c r="V223" s="577">
        <f t="shared" si="86"/>
        <v>0</v>
      </c>
      <c r="W223" s="577">
        <f t="shared" si="86"/>
        <v>0</v>
      </c>
      <c r="X223" s="577">
        <f t="shared" si="86"/>
        <v>0</v>
      </c>
      <c r="Y223" s="577">
        <f t="shared" si="86"/>
        <v>0</v>
      </c>
      <c r="Z223" s="577">
        <f t="shared" si="86"/>
        <v>0</v>
      </c>
      <c r="AA223" s="577">
        <f t="shared" si="86"/>
        <v>0</v>
      </c>
      <c r="AB223" s="577">
        <f t="shared" si="86"/>
        <v>0</v>
      </c>
      <c r="AC223" s="577">
        <f t="shared" si="86"/>
        <v>0</v>
      </c>
      <c r="AD223" s="577">
        <f t="shared" si="86"/>
        <v>0</v>
      </c>
      <c r="AE223" s="577">
        <f t="shared" si="86"/>
        <v>0</v>
      </c>
      <c r="AF223" s="577">
        <f t="shared" si="86"/>
        <v>0</v>
      </c>
      <c r="AG223" s="577">
        <f t="shared" si="86"/>
        <v>0</v>
      </c>
      <c r="AH223" s="577">
        <f t="shared" si="86"/>
        <v>0</v>
      </c>
      <c r="AI223" s="577">
        <f t="shared" si="86"/>
        <v>0</v>
      </c>
      <c r="AJ223" s="577">
        <f t="shared" si="86"/>
        <v>0</v>
      </c>
      <c r="AK223" s="620">
        <f>SUM(F223:AJ223)</f>
        <v>8599.5</v>
      </c>
    </row>
    <row r="224" spans="3:40" s="354" customFormat="1" ht="15" customHeight="1">
      <c r="C224" s="1018"/>
      <c r="D224" s="1046" t="s">
        <v>151</v>
      </c>
      <c r="E224" s="1047"/>
      <c r="F224" s="578">
        <f t="shared" ref="F224:AJ224" si="87">SUM(F197,F215)</f>
        <v>0</v>
      </c>
      <c r="G224" s="578">
        <f t="shared" si="87"/>
        <v>0</v>
      </c>
      <c r="H224" s="578">
        <f t="shared" si="87"/>
        <v>0</v>
      </c>
      <c r="I224" s="578">
        <f t="shared" si="87"/>
        <v>0</v>
      </c>
      <c r="J224" s="605">
        <f t="shared" si="87"/>
        <v>0</v>
      </c>
      <c r="K224" s="605">
        <f t="shared" si="87"/>
        <v>0</v>
      </c>
      <c r="L224" s="605">
        <f t="shared" si="87"/>
        <v>0</v>
      </c>
      <c r="M224" s="605">
        <f t="shared" si="87"/>
        <v>0</v>
      </c>
      <c r="N224" s="605">
        <f t="shared" si="87"/>
        <v>0</v>
      </c>
      <c r="O224" s="605">
        <f t="shared" si="87"/>
        <v>0</v>
      </c>
      <c r="P224" s="605">
        <f t="shared" si="87"/>
        <v>0</v>
      </c>
      <c r="Q224" s="605">
        <f t="shared" si="87"/>
        <v>0</v>
      </c>
      <c r="R224" s="578">
        <f t="shared" si="87"/>
        <v>0</v>
      </c>
      <c r="S224" s="578">
        <f t="shared" si="87"/>
        <v>0</v>
      </c>
      <c r="T224" s="578">
        <f t="shared" si="87"/>
        <v>0</v>
      </c>
      <c r="U224" s="578">
        <f t="shared" si="87"/>
        <v>0</v>
      </c>
      <c r="V224" s="608">
        <f t="shared" si="87"/>
        <v>0</v>
      </c>
      <c r="W224" s="608">
        <f t="shared" si="87"/>
        <v>0</v>
      </c>
      <c r="X224" s="578">
        <f t="shared" si="87"/>
        <v>0</v>
      </c>
      <c r="Y224" s="578">
        <f t="shared" si="87"/>
        <v>0</v>
      </c>
      <c r="Z224" s="578">
        <f t="shared" si="87"/>
        <v>0</v>
      </c>
      <c r="AA224" s="578">
        <f t="shared" si="87"/>
        <v>0</v>
      </c>
      <c r="AB224" s="578">
        <f t="shared" si="87"/>
        <v>0</v>
      </c>
      <c r="AC224" s="578">
        <f t="shared" si="87"/>
        <v>0</v>
      </c>
      <c r="AD224" s="578">
        <f t="shared" si="87"/>
        <v>0</v>
      </c>
      <c r="AE224" s="578">
        <f t="shared" si="87"/>
        <v>0</v>
      </c>
      <c r="AF224" s="578">
        <f t="shared" si="87"/>
        <v>0</v>
      </c>
      <c r="AG224" s="578">
        <f t="shared" si="87"/>
        <v>0</v>
      </c>
      <c r="AH224" s="578">
        <f t="shared" si="87"/>
        <v>0</v>
      </c>
      <c r="AI224" s="578">
        <f t="shared" si="87"/>
        <v>0</v>
      </c>
      <c r="AJ224" s="578">
        <f t="shared" si="87"/>
        <v>0</v>
      </c>
      <c r="AK224" s="621">
        <f>SUM(F224:AJ224)</f>
        <v>0</v>
      </c>
      <c r="AL224" s="622"/>
      <c r="AM224" s="623"/>
      <c r="AN224" s="624"/>
    </row>
    <row r="225" spans="1:39">
      <c r="C225" s="1019"/>
      <c r="D225" s="1048" t="s">
        <v>12</v>
      </c>
      <c r="E225" s="1049"/>
      <c r="F225" s="579">
        <f>IF(OR(F223=0,F224=0),0,F223/F224)</f>
        <v>0</v>
      </c>
      <c r="G225" s="579">
        <f t="shared" ref="G225:AJ225" si="88">IF(OR(G223=0,G224=0),0,G223/G224)</f>
        <v>0</v>
      </c>
      <c r="H225" s="579">
        <f t="shared" si="88"/>
        <v>0</v>
      </c>
      <c r="I225" s="579">
        <f t="shared" si="88"/>
        <v>0</v>
      </c>
      <c r="J225" s="579">
        <f t="shared" si="88"/>
        <v>0</v>
      </c>
      <c r="K225" s="579">
        <f t="shared" si="88"/>
        <v>0</v>
      </c>
      <c r="L225" s="579">
        <f t="shared" si="88"/>
        <v>0</v>
      </c>
      <c r="M225" s="579">
        <f t="shared" si="88"/>
        <v>0</v>
      </c>
      <c r="N225" s="579">
        <f t="shared" si="88"/>
        <v>0</v>
      </c>
      <c r="O225" s="579">
        <f t="shared" si="88"/>
        <v>0</v>
      </c>
      <c r="P225" s="579">
        <f t="shared" si="88"/>
        <v>0</v>
      </c>
      <c r="Q225" s="579">
        <f t="shared" si="88"/>
        <v>0</v>
      </c>
      <c r="R225" s="579">
        <f t="shared" si="88"/>
        <v>0</v>
      </c>
      <c r="S225" s="579">
        <f t="shared" si="88"/>
        <v>0</v>
      </c>
      <c r="T225" s="579">
        <f t="shared" si="88"/>
        <v>0</v>
      </c>
      <c r="U225" s="579">
        <f t="shared" si="88"/>
        <v>0</v>
      </c>
      <c r="V225" s="579">
        <f t="shared" si="88"/>
        <v>0</v>
      </c>
      <c r="W225" s="579">
        <f t="shared" si="88"/>
        <v>0</v>
      </c>
      <c r="X225" s="579">
        <f t="shared" si="88"/>
        <v>0</v>
      </c>
      <c r="Y225" s="579">
        <f t="shared" si="88"/>
        <v>0</v>
      </c>
      <c r="Z225" s="579">
        <f t="shared" si="88"/>
        <v>0</v>
      </c>
      <c r="AA225" s="579">
        <f t="shared" si="88"/>
        <v>0</v>
      </c>
      <c r="AB225" s="579">
        <f t="shared" si="88"/>
        <v>0</v>
      </c>
      <c r="AC225" s="579">
        <f t="shared" si="88"/>
        <v>0</v>
      </c>
      <c r="AD225" s="579">
        <f t="shared" si="88"/>
        <v>0</v>
      </c>
      <c r="AE225" s="579">
        <f t="shared" si="88"/>
        <v>0</v>
      </c>
      <c r="AF225" s="579">
        <f t="shared" si="88"/>
        <v>0</v>
      </c>
      <c r="AG225" s="579">
        <f t="shared" si="88"/>
        <v>0</v>
      </c>
      <c r="AH225" s="579">
        <f t="shared" si="88"/>
        <v>0</v>
      </c>
      <c r="AI225" s="579">
        <f t="shared" si="88"/>
        <v>0</v>
      </c>
      <c r="AJ225" s="579">
        <f t="shared" si="88"/>
        <v>0</v>
      </c>
      <c r="AK225" s="625">
        <f>IF(OR(AK222=0,AK224=0),0,AK223/AK224)</f>
        <v>0</v>
      </c>
      <c r="AL225" s="219"/>
    </row>
    <row r="226" spans="1:39" ht="15" customHeight="1">
      <c r="C226" s="580"/>
      <c r="D226" s="580"/>
      <c r="E226" s="334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60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610"/>
      <c r="AD226" s="219"/>
    </row>
    <row r="227" spans="1:39" ht="15" customHeight="1">
      <c r="C227" s="388" t="str">
        <f>"3.Actual "&amp;MID(C2,13,20)</f>
        <v>3.Actual Sep'26</v>
      </c>
      <c r="D227" s="388"/>
      <c r="F227" s="221"/>
      <c r="G227" s="581"/>
      <c r="J227" s="606"/>
      <c r="U227" s="221"/>
      <c r="AA227" s="219"/>
      <c r="AB227" s="219"/>
      <c r="AC227" s="219"/>
      <c r="AD227" s="184" t="s">
        <v>52</v>
      </c>
      <c r="AE227" s="221"/>
    </row>
    <row r="228" spans="1:39" ht="14.25" customHeight="1">
      <c r="C228" s="1050"/>
      <c r="D228" s="1051"/>
      <c r="E228" s="883" t="s">
        <v>61</v>
      </c>
      <c r="F228" s="883" t="s">
        <v>62</v>
      </c>
      <c r="G228" s="883" t="s">
        <v>63</v>
      </c>
      <c r="H228" s="883" t="s">
        <v>64</v>
      </c>
      <c r="I228" s="883" t="s">
        <v>65</v>
      </c>
      <c r="J228" s="883" t="s">
        <v>66</v>
      </c>
      <c r="K228" s="883" t="s">
        <v>67</v>
      </c>
      <c r="L228" s="883" t="s">
        <v>68</v>
      </c>
      <c r="M228" s="883" t="s">
        <v>69</v>
      </c>
      <c r="N228" s="883" t="s">
        <v>70</v>
      </c>
      <c r="O228" s="883" t="s">
        <v>71</v>
      </c>
      <c r="P228" s="883" t="s">
        <v>72</v>
      </c>
      <c r="Q228" s="883" t="s">
        <v>73</v>
      </c>
      <c r="R228" s="883" t="s">
        <v>74</v>
      </c>
      <c r="S228" s="883" t="s">
        <v>75</v>
      </c>
      <c r="T228" s="883" t="s">
        <v>76</v>
      </c>
      <c r="U228" s="883" t="s">
        <v>77</v>
      </c>
      <c r="V228" s="883" t="s">
        <v>78</v>
      </c>
      <c r="W228" s="883" t="s">
        <v>79</v>
      </c>
      <c r="X228" s="883" t="s">
        <v>80</v>
      </c>
      <c r="Y228" s="883" t="s">
        <v>81</v>
      </c>
      <c r="Z228" s="883" t="s">
        <v>82</v>
      </c>
      <c r="AA228" s="883" t="s">
        <v>83</v>
      </c>
      <c r="AB228" s="883" t="s">
        <v>84</v>
      </c>
      <c r="AC228" s="883" t="s">
        <v>85</v>
      </c>
      <c r="AD228" s="883" t="s">
        <v>86</v>
      </c>
      <c r="AE228" s="883" t="s">
        <v>87</v>
      </c>
      <c r="AF228" s="883" t="s">
        <v>88</v>
      </c>
      <c r="AG228" s="883" t="s">
        <v>89</v>
      </c>
      <c r="AH228" s="883" t="s">
        <v>90</v>
      </c>
      <c r="AI228" s="883" t="s">
        <v>91</v>
      </c>
      <c r="AJ228" s="626" t="s">
        <v>169</v>
      </c>
      <c r="AK228" s="627" t="s">
        <v>169</v>
      </c>
      <c r="AL228" s="221"/>
      <c r="AM228" s="628"/>
    </row>
    <row r="229" spans="1:39" ht="14.25" customHeight="1">
      <c r="C229" s="1052" t="s">
        <v>170</v>
      </c>
      <c r="D229" s="1053"/>
      <c r="E229" s="582">
        <f t="shared" ref="E229:L229" si="89">E230+E233</f>
        <v>0</v>
      </c>
      <c r="F229" s="582">
        <f t="shared" si="89"/>
        <v>0</v>
      </c>
      <c r="G229" s="582">
        <f t="shared" si="89"/>
        <v>0</v>
      </c>
      <c r="H229" s="582">
        <f t="shared" si="89"/>
        <v>0</v>
      </c>
      <c r="I229" s="582">
        <f t="shared" si="89"/>
        <v>0</v>
      </c>
      <c r="J229" s="582">
        <f t="shared" si="89"/>
        <v>0</v>
      </c>
      <c r="K229" s="582">
        <f t="shared" si="89"/>
        <v>0</v>
      </c>
      <c r="L229" s="582">
        <f t="shared" si="89"/>
        <v>0</v>
      </c>
      <c r="M229" s="582">
        <f t="shared" ref="M229:AI229" si="90">M230+M233</f>
        <v>0</v>
      </c>
      <c r="N229" s="582">
        <f t="shared" ref="N229:V229" si="91">N230+N233</f>
        <v>0</v>
      </c>
      <c r="O229" s="582">
        <f t="shared" si="91"/>
        <v>0</v>
      </c>
      <c r="P229" s="582">
        <f t="shared" si="91"/>
        <v>0</v>
      </c>
      <c r="Q229" s="582">
        <f t="shared" si="91"/>
        <v>0</v>
      </c>
      <c r="R229" s="582">
        <f t="shared" si="91"/>
        <v>0</v>
      </c>
      <c r="S229" s="582">
        <f t="shared" si="91"/>
        <v>0</v>
      </c>
      <c r="T229" s="582">
        <f t="shared" si="91"/>
        <v>0</v>
      </c>
      <c r="U229" s="582">
        <f t="shared" si="91"/>
        <v>0</v>
      </c>
      <c r="V229" s="582">
        <f t="shared" si="91"/>
        <v>0</v>
      </c>
      <c r="W229" s="582">
        <f t="shared" si="90"/>
        <v>0</v>
      </c>
      <c r="X229" s="582">
        <f t="shared" si="90"/>
        <v>0</v>
      </c>
      <c r="Y229" s="582">
        <f t="shared" si="90"/>
        <v>0</v>
      </c>
      <c r="Z229" s="582">
        <f t="shared" si="90"/>
        <v>0</v>
      </c>
      <c r="AA229" s="582">
        <f t="shared" si="90"/>
        <v>0</v>
      </c>
      <c r="AB229" s="582">
        <f t="shared" si="90"/>
        <v>0</v>
      </c>
      <c r="AC229" s="582">
        <f t="shared" si="90"/>
        <v>0</v>
      </c>
      <c r="AD229" s="582">
        <f t="shared" si="90"/>
        <v>0</v>
      </c>
      <c r="AE229" s="582">
        <f t="shared" si="90"/>
        <v>0</v>
      </c>
      <c r="AF229" s="582">
        <f t="shared" si="90"/>
        <v>0</v>
      </c>
      <c r="AG229" s="582">
        <f t="shared" si="90"/>
        <v>0</v>
      </c>
      <c r="AH229" s="582">
        <f t="shared" si="90"/>
        <v>0</v>
      </c>
      <c r="AI229" s="582">
        <f t="shared" si="90"/>
        <v>0</v>
      </c>
      <c r="AJ229" s="629">
        <f>SUM(E229:AI229)</f>
        <v>0</v>
      </c>
      <c r="AK229" s="921">
        <f>HLOOKUP(LEFT(Summary!$D$3,2),$E$228:$AI$240,2,FALSE)</f>
        <v>0</v>
      </c>
      <c r="AM229" s="628"/>
    </row>
    <row r="230" spans="1:39" ht="14.25" customHeight="1">
      <c r="C230" s="998" t="s">
        <v>171</v>
      </c>
      <c r="D230" s="999"/>
      <c r="E230" s="583">
        <f>F150+F69+F75+F93+F96+F102+F105+F108+F111+F114+F120+F123+F126+F132+F135+F117+F129+F138+F141+F144+F147+F153+F156+F72+F99+F90+F87+F78+F81+F84</f>
        <v>0</v>
      </c>
      <c r="F230" s="583">
        <f t="shared" ref="F230:AI230" si="92">G150+G69+G75+G93+G96+G102+G105+G108+G111+G114+G120+G123+G126+G132+G135+G117+G129+G138+G141+G144+G147+G153+G156+G72+G99+G90+G87+G78+G81+G84</f>
        <v>0</v>
      </c>
      <c r="G230" s="583">
        <f t="shared" si="92"/>
        <v>0</v>
      </c>
      <c r="H230" s="583">
        <f t="shared" si="92"/>
        <v>0</v>
      </c>
      <c r="I230" s="583">
        <f t="shared" si="92"/>
        <v>0</v>
      </c>
      <c r="J230" s="583">
        <f t="shared" si="92"/>
        <v>0</v>
      </c>
      <c r="K230" s="583">
        <f t="shared" si="92"/>
        <v>0</v>
      </c>
      <c r="L230" s="583">
        <f t="shared" si="92"/>
        <v>0</v>
      </c>
      <c r="M230" s="583">
        <f t="shared" si="92"/>
        <v>0</v>
      </c>
      <c r="N230" s="583">
        <f t="shared" si="92"/>
        <v>0</v>
      </c>
      <c r="O230" s="583">
        <f t="shared" si="92"/>
        <v>0</v>
      </c>
      <c r="P230" s="583">
        <f t="shared" si="92"/>
        <v>0</v>
      </c>
      <c r="Q230" s="583">
        <f t="shared" si="92"/>
        <v>0</v>
      </c>
      <c r="R230" s="583">
        <f t="shared" si="92"/>
        <v>0</v>
      </c>
      <c r="S230" s="583">
        <f t="shared" si="92"/>
        <v>0</v>
      </c>
      <c r="T230" s="583">
        <f t="shared" si="92"/>
        <v>0</v>
      </c>
      <c r="U230" s="583">
        <f t="shared" si="92"/>
        <v>0</v>
      </c>
      <c r="V230" s="583">
        <f t="shared" si="92"/>
        <v>0</v>
      </c>
      <c r="W230" s="583">
        <f t="shared" si="92"/>
        <v>0</v>
      </c>
      <c r="X230" s="583">
        <f t="shared" si="92"/>
        <v>0</v>
      </c>
      <c r="Y230" s="583">
        <f t="shared" si="92"/>
        <v>0</v>
      </c>
      <c r="Z230" s="583">
        <f t="shared" si="92"/>
        <v>0</v>
      </c>
      <c r="AA230" s="583">
        <f t="shared" si="92"/>
        <v>0</v>
      </c>
      <c r="AB230" s="583">
        <f t="shared" si="92"/>
        <v>0</v>
      </c>
      <c r="AC230" s="583">
        <f t="shared" si="92"/>
        <v>0</v>
      </c>
      <c r="AD230" s="583">
        <f t="shared" si="92"/>
        <v>0</v>
      </c>
      <c r="AE230" s="583">
        <f t="shared" si="92"/>
        <v>0</v>
      </c>
      <c r="AF230" s="583">
        <f t="shared" si="92"/>
        <v>0</v>
      </c>
      <c r="AG230" s="583">
        <f t="shared" si="92"/>
        <v>0</v>
      </c>
      <c r="AH230" s="583">
        <f t="shared" si="92"/>
        <v>0</v>
      </c>
      <c r="AI230" s="583">
        <f t="shared" si="92"/>
        <v>0</v>
      </c>
      <c r="AJ230" s="630">
        <f>SUM(E230:AI230)</f>
        <v>0</v>
      </c>
      <c r="AK230" s="922">
        <f>HLOOKUP(LEFT(Summary!$D$3,2),$E$228:$AI$240,3,FALSE)</f>
        <v>0</v>
      </c>
      <c r="AL230" s="221"/>
      <c r="AM230" s="628"/>
    </row>
    <row r="231" spans="1:39" ht="15" customHeight="1">
      <c r="B231" s="584">
        <v>351.37</v>
      </c>
      <c r="C231" s="998" t="s">
        <v>172</v>
      </c>
      <c r="D231" s="999"/>
      <c r="E231" s="585">
        <f>$B$231+E230-E234</f>
        <v>351.37</v>
      </c>
      <c r="F231" s="585">
        <f t="shared" ref="F231:AI231" si="93">$B$231+F230-F234</f>
        <v>351.37</v>
      </c>
      <c r="G231" s="585">
        <f t="shared" si="93"/>
        <v>351.37</v>
      </c>
      <c r="H231" s="585">
        <f t="shared" si="93"/>
        <v>351.37</v>
      </c>
      <c r="I231" s="585">
        <f t="shared" si="93"/>
        <v>351.37</v>
      </c>
      <c r="J231" s="585">
        <f t="shared" si="93"/>
        <v>351.37</v>
      </c>
      <c r="K231" s="585">
        <f t="shared" si="93"/>
        <v>351.37</v>
      </c>
      <c r="L231" s="585">
        <f t="shared" si="93"/>
        <v>351.37</v>
      </c>
      <c r="M231" s="585">
        <f t="shared" si="93"/>
        <v>351.37</v>
      </c>
      <c r="N231" s="585">
        <f t="shared" si="93"/>
        <v>351.37</v>
      </c>
      <c r="O231" s="585">
        <f t="shared" si="93"/>
        <v>351.37</v>
      </c>
      <c r="P231" s="585">
        <f t="shared" si="93"/>
        <v>351.37</v>
      </c>
      <c r="Q231" s="585">
        <f t="shared" si="93"/>
        <v>351.37</v>
      </c>
      <c r="R231" s="585">
        <f t="shared" si="93"/>
        <v>351.37</v>
      </c>
      <c r="S231" s="585">
        <f t="shared" si="93"/>
        <v>351.37</v>
      </c>
      <c r="T231" s="585">
        <f t="shared" si="93"/>
        <v>351.37</v>
      </c>
      <c r="U231" s="585">
        <f t="shared" si="93"/>
        <v>351.37</v>
      </c>
      <c r="V231" s="585">
        <f t="shared" si="93"/>
        <v>351.37</v>
      </c>
      <c r="W231" s="585">
        <f t="shared" si="93"/>
        <v>351.37</v>
      </c>
      <c r="X231" s="585">
        <f t="shared" si="93"/>
        <v>351.37</v>
      </c>
      <c r="Y231" s="585">
        <f t="shared" si="93"/>
        <v>351.37</v>
      </c>
      <c r="Z231" s="585">
        <f t="shared" si="93"/>
        <v>351.37</v>
      </c>
      <c r="AA231" s="585">
        <f t="shared" si="93"/>
        <v>351.37</v>
      </c>
      <c r="AB231" s="585">
        <f t="shared" si="93"/>
        <v>351.37</v>
      </c>
      <c r="AC231" s="585">
        <f t="shared" si="93"/>
        <v>351.37</v>
      </c>
      <c r="AD231" s="585">
        <f t="shared" si="93"/>
        <v>351.37</v>
      </c>
      <c r="AE231" s="585">
        <f t="shared" si="93"/>
        <v>351.37</v>
      </c>
      <c r="AF231" s="585">
        <f t="shared" si="93"/>
        <v>351.37</v>
      </c>
      <c r="AG231" s="585">
        <f t="shared" si="93"/>
        <v>351.37</v>
      </c>
      <c r="AH231" s="585">
        <f t="shared" si="93"/>
        <v>351.37</v>
      </c>
      <c r="AI231" s="585">
        <f t="shared" si="93"/>
        <v>351.37</v>
      </c>
      <c r="AJ231" s="632">
        <f>HLOOKUP(LEFT(Summary!$D$3,2),$E$228:$AI$240,4,FALSE)</f>
        <v>351.37</v>
      </c>
      <c r="AK231" s="923">
        <f>HLOOKUP(LEFT(Summary!$D$3,2),$E$228:$AI$240,4,FALSE)</f>
        <v>351.37</v>
      </c>
    </row>
    <row r="232" spans="1:39" ht="15" customHeight="1">
      <c r="B232" s="223"/>
      <c r="C232" s="998" t="s">
        <v>173</v>
      </c>
      <c r="D232" s="999"/>
      <c r="E232" s="583">
        <f t="shared" ref="E232:F232" si="94">E233+E234</f>
        <v>0</v>
      </c>
      <c r="F232" s="587">
        <f t="shared" si="94"/>
        <v>0</v>
      </c>
      <c r="G232" s="583">
        <v>0</v>
      </c>
      <c r="H232" s="583">
        <v>0</v>
      </c>
      <c r="I232" s="583">
        <v>0</v>
      </c>
      <c r="J232" s="583">
        <v>0</v>
      </c>
      <c r="K232" s="583">
        <v>0</v>
      </c>
      <c r="L232" s="583">
        <v>0</v>
      </c>
      <c r="M232" s="583">
        <v>0</v>
      </c>
      <c r="N232" s="583">
        <v>0</v>
      </c>
      <c r="O232" s="583">
        <v>0</v>
      </c>
      <c r="P232" s="583">
        <v>0</v>
      </c>
      <c r="Q232" s="583">
        <v>0</v>
      </c>
      <c r="R232" s="583">
        <v>0</v>
      </c>
      <c r="S232" s="583">
        <v>0</v>
      </c>
      <c r="T232" s="583">
        <f t="shared" ref="T232:AI232" si="95">T233+T234</f>
        <v>0</v>
      </c>
      <c r="U232" s="583">
        <f t="shared" si="95"/>
        <v>0</v>
      </c>
      <c r="V232" s="583">
        <f t="shared" si="95"/>
        <v>0</v>
      </c>
      <c r="W232" s="583">
        <f t="shared" si="95"/>
        <v>0</v>
      </c>
      <c r="X232" s="583">
        <f t="shared" si="95"/>
        <v>0</v>
      </c>
      <c r="Y232" s="583">
        <f t="shared" si="95"/>
        <v>0</v>
      </c>
      <c r="Z232" s="583">
        <f t="shared" si="95"/>
        <v>0</v>
      </c>
      <c r="AA232" s="611">
        <f t="shared" si="95"/>
        <v>0</v>
      </c>
      <c r="AB232" s="583">
        <f t="shared" si="95"/>
        <v>0</v>
      </c>
      <c r="AC232" s="583">
        <f t="shared" si="95"/>
        <v>0</v>
      </c>
      <c r="AD232" s="583">
        <f t="shared" si="95"/>
        <v>0</v>
      </c>
      <c r="AE232" s="583">
        <f t="shared" si="95"/>
        <v>0</v>
      </c>
      <c r="AF232" s="583">
        <f t="shared" si="95"/>
        <v>0</v>
      </c>
      <c r="AG232" s="582">
        <f t="shared" si="95"/>
        <v>0</v>
      </c>
      <c r="AH232" s="582">
        <f t="shared" si="95"/>
        <v>0</v>
      </c>
      <c r="AI232" s="582">
        <f t="shared" si="95"/>
        <v>0</v>
      </c>
      <c r="AJ232" s="630">
        <f t="shared" ref="AJ232:AJ238" si="96">SUM(E232:AI232)</f>
        <v>0</v>
      </c>
      <c r="AK232" s="631">
        <f>HLOOKUP(LEFT(Summary!$D$3,2),$E$228:$AI$240,5,FALSE)</f>
        <v>0</v>
      </c>
      <c r="AL232" s="607"/>
    </row>
    <row r="233" spans="1:39" ht="15" customHeight="1">
      <c r="C233" s="998" t="s">
        <v>174</v>
      </c>
      <c r="D233" s="999"/>
      <c r="E233" s="582">
        <f>SUM(F92,F95,F98,F101,F104,F107,F110,F113,F119,F122,F131,F134,F116,F125,F137,F149,F152,F155,F143,F146,F128,F140,F71,F68,F83,F80,F77,F74,F89,F86)</f>
        <v>0</v>
      </c>
      <c r="F233" s="588">
        <f t="shared" ref="F233:AI233" si="97">SUM(G92,G95,G98,G101,G104,G107,G110,G113,G119,G122,G131,G134,G116,G125,G137,G149,G152,G155,G143,G146,G128,G140,G71,G68,G83,G80,G77,G74,G89,G86)</f>
        <v>0</v>
      </c>
      <c r="G233" s="582">
        <f t="shared" si="97"/>
        <v>0</v>
      </c>
      <c r="H233" s="582">
        <f t="shared" si="97"/>
        <v>0</v>
      </c>
      <c r="I233" s="582">
        <f t="shared" si="97"/>
        <v>0</v>
      </c>
      <c r="J233" s="582">
        <f t="shared" si="97"/>
        <v>0</v>
      </c>
      <c r="K233" s="582">
        <f t="shared" si="97"/>
        <v>0</v>
      </c>
      <c r="L233" s="583">
        <f t="shared" si="97"/>
        <v>0</v>
      </c>
      <c r="M233" s="582">
        <f t="shared" ref="M233:V233" si="98">SUM(N92,N95,N98,N101,N104,N107,N110,N113,N119,N122,N131,N134,N116,N125,N137,N149,N152,N155,N143,N146,N128,N140,N71,N68,N83,N80,N77,N74,N89,N86)</f>
        <v>0</v>
      </c>
      <c r="N233" s="582">
        <f t="shared" si="98"/>
        <v>0</v>
      </c>
      <c r="O233" s="582">
        <f t="shared" si="98"/>
        <v>0</v>
      </c>
      <c r="P233" s="582">
        <f t="shared" si="98"/>
        <v>0</v>
      </c>
      <c r="Q233" s="582">
        <f t="shared" si="98"/>
        <v>0</v>
      </c>
      <c r="R233" s="582">
        <f t="shared" si="98"/>
        <v>0</v>
      </c>
      <c r="S233" s="582">
        <f t="shared" si="98"/>
        <v>0</v>
      </c>
      <c r="T233" s="582">
        <f t="shared" si="98"/>
        <v>0</v>
      </c>
      <c r="U233" s="582">
        <f t="shared" si="98"/>
        <v>0</v>
      </c>
      <c r="V233" s="582">
        <f t="shared" si="98"/>
        <v>0</v>
      </c>
      <c r="W233" s="582">
        <f t="shared" si="97"/>
        <v>0</v>
      </c>
      <c r="X233" s="582">
        <f t="shared" si="97"/>
        <v>0</v>
      </c>
      <c r="Y233" s="582">
        <f t="shared" si="97"/>
        <v>0</v>
      </c>
      <c r="Z233" s="582">
        <f t="shared" si="97"/>
        <v>0</v>
      </c>
      <c r="AA233" s="582">
        <f t="shared" si="97"/>
        <v>0</v>
      </c>
      <c r="AB233" s="582">
        <f t="shared" si="97"/>
        <v>0</v>
      </c>
      <c r="AC233" s="582">
        <f t="shared" si="97"/>
        <v>0</v>
      </c>
      <c r="AD233" s="582">
        <f t="shared" si="97"/>
        <v>0</v>
      </c>
      <c r="AE233" s="582">
        <f t="shared" si="97"/>
        <v>0</v>
      </c>
      <c r="AF233" s="582">
        <f t="shared" si="97"/>
        <v>0</v>
      </c>
      <c r="AG233" s="582">
        <f t="shared" si="97"/>
        <v>0</v>
      </c>
      <c r="AH233" s="582">
        <f t="shared" si="97"/>
        <v>0</v>
      </c>
      <c r="AI233" s="582">
        <f t="shared" si="97"/>
        <v>0</v>
      </c>
      <c r="AJ233" s="632">
        <f t="shared" si="96"/>
        <v>0</v>
      </c>
      <c r="AK233" s="631">
        <f>HLOOKUP(LEFT(Summary!$D$3,2),$E$228:$AI$240,6,FALSE)</f>
        <v>0</v>
      </c>
      <c r="AL233" s="607"/>
    </row>
    <row r="234" spans="1:39" ht="15" customHeight="1">
      <c r="C234" s="998" t="s">
        <v>175</v>
      </c>
      <c r="D234" s="999"/>
      <c r="E234" s="582">
        <v>0</v>
      </c>
      <c r="F234" s="588">
        <v>0</v>
      </c>
      <c r="G234" s="588">
        <v>0</v>
      </c>
      <c r="H234" s="588">
        <v>0</v>
      </c>
      <c r="I234" s="588">
        <v>0</v>
      </c>
      <c r="J234" s="588">
        <v>0</v>
      </c>
      <c r="K234" s="588">
        <v>0</v>
      </c>
      <c r="L234" s="588">
        <v>0</v>
      </c>
      <c r="M234" s="588">
        <v>0</v>
      </c>
      <c r="N234" s="588">
        <v>0</v>
      </c>
      <c r="O234" s="588">
        <v>0</v>
      </c>
      <c r="P234" s="588">
        <v>0</v>
      </c>
      <c r="Q234" s="588">
        <v>0</v>
      </c>
      <c r="R234" s="588">
        <v>0</v>
      </c>
      <c r="S234" s="588">
        <v>0</v>
      </c>
      <c r="T234" s="588">
        <v>0</v>
      </c>
      <c r="U234" s="588">
        <v>0</v>
      </c>
      <c r="V234" s="588">
        <v>0</v>
      </c>
      <c r="W234" s="588">
        <v>0</v>
      </c>
      <c r="X234" s="588">
        <v>0</v>
      </c>
      <c r="Y234" s="588">
        <v>0</v>
      </c>
      <c r="Z234" s="588">
        <v>0</v>
      </c>
      <c r="AA234" s="588">
        <v>0</v>
      </c>
      <c r="AB234" s="588">
        <v>0</v>
      </c>
      <c r="AC234" s="588">
        <v>0</v>
      </c>
      <c r="AD234" s="588">
        <v>0</v>
      </c>
      <c r="AE234" s="588">
        <v>0</v>
      </c>
      <c r="AF234" s="588">
        <v>0</v>
      </c>
      <c r="AG234" s="588">
        <v>0</v>
      </c>
      <c r="AH234" s="588">
        <v>0</v>
      </c>
      <c r="AI234" s="588">
        <v>0</v>
      </c>
      <c r="AJ234" s="630">
        <f t="shared" si="96"/>
        <v>0</v>
      </c>
      <c r="AK234" s="633">
        <f>HLOOKUP(LEFT(Summary!$D$3,2),$E$228:$AI$240,7,FALSE)</f>
        <v>0</v>
      </c>
      <c r="AL234" s="607"/>
    </row>
    <row r="235" spans="1:39" ht="15" customHeight="1">
      <c r="B235" s="221"/>
      <c r="C235" s="998" t="s">
        <v>42</v>
      </c>
      <c r="D235" s="999"/>
      <c r="E235" s="582">
        <f t="shared" ref="E235:AI235" si="99">E283</f>
        <v>0</v>
      </c>
      <c r="F235" s="588">
        <f t="shared" si="99"/>
        <v>0</v>
      </c>
      <c r="G235" s="582">
        <f t="shared" si="99"/>
        <v>0</v>
      </c>
      <c r="H235" s="582">
        <f t="shared" si="99"/>
        <v>0</v>
      </c>
      <c r="I235" s="582">
        <f t="shared" si="99"/>
        <v>0</v>
      </c>
      <c r="J235" s="582">
        <f t="shared" si="99"/>
        <v>0</v>
      </c>
      <c r="K235" s="582">
        <f t="shared" si="99"/>
        <v>0</v>
      </c>
      <c r="L235" s="582">
        <f t="shared" si="99"/>
        <v>0</v>
      </c>
      <c r="M235" s="582">
        <f t="shared" si="99"/>
        <v>0</v>
      </c>
      <c r="N235" s="582">
        <f t="shared" si="99"/>
        <v>0</v>
      </c>
      <c r="O235" s="582">
        <f t="shared" si="99"/>
        <v>0</v>
      </c>
      <c r="P235" s="582">
        <f t="shared" si="99"/>
        <v>0</v>
      </c>
      <c r="Q235" s="582">
        <f t="shared" si="99"/>
        <v>0</v>
      </c>
      <c r="R235" s="582">
        <f t="shared" si="99"/>
        <v>0</v>
      </c>
      <c r="S235" s="582">
        <f t="shared" si="99"/>
        <v>0</v>
      </c>
      <c r="T235" s="582">
        <f t="shared" si="99"/>
        <v>0</v>
      </c>
      <c r="U235" s="582">
        <f t="shared" si="99"/>
        <v>0</v>
      </c>
      <c r="V235" s="582">
        <f t="shared" si="99"/>
        <v>0</v>
      </c>
      <c r="W235" s="582">
        <f t="shared" si="99"/>
        <v>0</v>
      </c>
      <c r="X235" s="582">
        <f t="shared" si="99"/>
        <v>0</v>
      </c>
      <c r="Y235" s="582">
        <f t="shared" si="99"/>
        <v>0</v>
      </c>
      <c r="Z235" s="582">
        <f t="shared" si="99"/>
        <v>0</v>
      </c>
      <c r="AA235" s="582">
        <f t="shared" si="99"/>
        <v>0</v>
      </c>
      <c r="AB235" s="582">
        <f t="shared" si="99"/>
        <v>0</v>
      </c>
      <c r="AC235" s="582">
        <f t="shared" si="99"/>
        <v>0</v>
      </c>
      <c r="AD235" s="582">
        <f t="shared" si="99"/>
        <v>0</v>
      </c>
      <c r="AE235" s="582">
        <f t="shared" si="99"/>
        <v>0</v>
      </c>
      <c r="AF235" s="582">
        <f t="shared" si="99"/>
        <v>0</v>
      </c>
      <c r="AG235" s="582">
        <f t="shared" si="99"/>
        <v>0</v>
      </c>
      <c r="AH235" s="582">
        <f t="shared" si="99"/>
        <v>0</v>
      </c>
      <c r="AI235" s="582">
        <f t="shared" si="99"/>
        <v>0</v>
      </c>
      <c r="AJ235" s="630">
        <f t="shared" si="96"/>
        <v>0</v>
      </c>
      <c r="AK235" s="631">
        <f>HLOOKUP(LEFT(Summary!$D$3,2),$E$228:$AI$240,8,FALSE)</f>
        <v>0</v>
      </c>
      <c r="AL235" s="607"/>
    </row>
    <row r="236" spans="1:39">
      <c r="B236" s="178">
        <v>1370.3389999999999</v>
      </c>
      <c r="C236" s="998" t="s">
        <v>176</v>
      </c>
      <c r="D236" s="999"/>
      <c r="E236" s="582">
        <f t="shared" ref="E236:U236" si="100">$B$236+E232-E235</f>
        <v>1370.3389999999999</v>
      </c>
      <c r="F236" s="582">
        <f t="shared" si="100"/>
        <v>1370.3389999999999</v>
      </c>
      <c r="G236" s="582">
        <f t="shared" si="100"/>
        <v>1370.3389999999999</v>
      </c>
      <c r="H236" s="582">
        <f t="shared" si="100"/>
        <v>1370.3389999999999</v>
      </c>
      <c r="I236" s="582">
        <f t="shared" si="100"/>
        <v>1370.3389999999999</v>
      </c>
      <c r="J236" s="582">
        <f t="shared" si="100"/>
        <v>1370.3389999999999</v>
      </c>
      <c r="K236" s="582">
        <f t="shared" si="100"/>
        <v>1370.3389999999999</v>
      </c>
      <c r="L236" s="582">
        <f t="shared" si="100"/>
        <v>1370.3389999999999</v>
      </c>
      <c r="M236" s="582">
        <f t="shared" si="100"/>
        <v>1370.3389999999999</v>
      </c>
      <c r="N236" s="582">
        <f t="shared" si="100"/>
        <v>1370.3389999999999</v>
      </c>
      <c r="O236" s="582">
        <f t="shared" si="100"/>
        <v>1370.3389999999999</v>
      </c>
      <c r="P236" s="582">
        <f t="shared" si="100"/>
        <v>1370.3389999999999</v>
      </c>
      <c r="Q236" s="582">
        <f t="shared" si="100"/>
        <v>1370.3389999999999</v>
      </c>
      <c r="R236" s="582">
        <f t="shared" si="100"/>
        <v>1370.3389999999999</v>
      </c>
      <c r="S236" s="582">
        <f t="shared" si="100"/>
        <v>1370.3389999999999</v>
      </c>
      <c r="T236" s="582">
        <f t="shared" si="100"/>
        <v>1370.3389999999999</v>
      </c>
      <c r="U236" s="582">
        <f t="shared" si="100"/>
        <v>1370.3389999999999</v>
      </c>
      <c r="V236" s="582">
        <f t="shared" ref="V236:AI236" si="101">$B$236+V232-V235</f>
        <v>1370.3389999999999</v>
      </c>
      <c r="W236" s="582">
        <f t="shared" si="101"/>
        <v>1370.3389999999999</v>
      </c>
      <c r="X236" s="582">
        <f t="shared" si="101"/>
        <v>1370.3389999999999</v>
      </c>
      <c r="Y236" s="582">
        <f t="shared" si="101"/>
        <v>1370.3389999999999</v>
      </c>
      <c r="Z236" s="582">
        <f t="shared" si="101"/>
        <v>1370.3389999999999</v>
      </c>
      <c r="AA236" s="582">
        <f t="shared" si="101"/>
        <v>1370.3389999999999</v>
      </c>
      <c r="AB236" s="582">
        <f t="shared" si="101"/>
        <v>1370.3389999999999</v>
      </c>
      <c r="AC236" s="582">
        <f t="shared" si="101"/>
        <v>1370.3389999999999</v>
      </c>
      <c r="AD236" s="582">
        <f t="shared" si="101"/>
        <v>1370.3389999999999</v>
      </c>
      <c r="AE236" s="582">
        <f t="shared" si="101"/>
        <v>1370.3389999999999</v>
      </c>
      <c r="AF236" s="582">
        <f t="shared" si="101"/>
        <v>1370.3389999999999</v>
      </c>
      <c r="AG236" s="582">
        <f t="shared" si="101"/>
        <v>1370.3389999999999</v>
      </c>
      <c r="AH236" s="582">
        <f t="shared" si="101"/>
        <v>1370.3389999999999</v>
      </c>
      <c r="AI236" s="582">
        <f t="shared" si="101"/>
        <v>1370.3389999999999</v>
      </c>
      <c r="AJ236" s="632">
        <f>HLOOKUP(LEFT(Summary!$D$3,2),$E$228:$AI$240,9,FALSE)</f>
        <v>1370.3389999999999</v>
      </c>
      <c r="AK236" s="631">
        <f>HLOOKUP(LEFT(Summary!$D$3,2),$E$228:$AI$240,9,FALSE)</f>
        <v>1370.3389999999999</v>
      </c>
    </row>
    <row r="237" spans="1:39" ht="15.6">
      <c r="A237" s="589"/>
      <c r="B237" s="269"/>
      <c r="C237" s="1000" t="s">
        <v>177</v>
      </c>
      <c r="D237" s="1001"/>
      <c r="E237" s="590">
        <v>0</v>
      </c>
      <c r="F237" s="590">
        <v>0</v>
      </c>
      <c r="G237" s="590">
        <v>0</v>
      </c>
      <c r="H237" s="590">
        <v>0</v>
      </c>
      <c r="I237" s="590">
        <v>0</v>
      </c>
      <c r="J237" s="590">
        <v>0</v>
      </c>
      <c r="K237" s="590">
        <v>0</v>
      </c>
      <c r="L237" s="590">
        <v>0</v>
      </c>
      <c r="M237" s="590">
        <v>0</v>
      </c>
      <c r="N237" s="590">
        <v>0</v>
      </c>
      <c r="O237" s="590">
        <v>0</v>
      </c>
      <c r="P237" s="590">
        <v>0</v>
      </c>
      <c r="Q237" s="590">
        <v>0</v>
      </c>
      <c r="R237" s="590">
        <v>0</v>
      </c>
      <c r="S237" s="590">
        <v>0</v>
      </c>
      <c r="T237" s="590">
        <v>0</v>
      </c>
      <c r="U237" s="590">
        <v>0</v>
      </c>
      <c r="V237" s="590">
        <v>0</v>
      </c>
      <c r="W237" s="590">
        <v>0</v>
      </c>
      <c r="X237" s="590">
        <v>0</v>
      </c>
      <c r="Y237" s="590">
        <v>0</v>
      </c>
      <c r="Z237" s="590">
        <v>0</v>
      </c>
      <c r="AA237" s="590">
        <v>0</v>
      </c>
      <c r="AB237" s="590">
        <v>0</v>
      </c>
      <c r="AC237" s="590">
        <v>0</v>
      </c>
      <c r="AD237" s="590">
        <v>0</v>
      </c>
      <c r="AE237" s="590">
        <v>0</v>
      </c>
      <c r="AF237" s="590">
        <v>0</v>
      </c>
      <c r="AG237" s="590">
        <v>0</v>
      </c>
      <c r="AH237" s="590">
        <v>0</v>
      </c>
      <c r="AI237" s="590">
        <v>0</v>
      </c>
      <c r="AJ237" s="634">
        <f>HLOOKUP(LEFT(Summary!$D$3,2),$E$228:$AI$240,10,FALSE)</f>
        <v>0</v>
      </c>
      <c r="AK237" s="631">
        <f>HLOOKUP(LEFT(Summary!$D$3,2),$E$228:$AI$240,10,FALSE)</f>
        <v>0</v>
      </c>
    </row>
    <row r="238" spans="1:39" ht="16.5" hidden="1" customHeight="1">
      <c r="C238" s="591" t="s">
        <v>178</v>
      </c>
      <c r="D238" s="591"/>
      <c r="E238" s="368">
        <v>17143</v>
      </c>
      <c r="F238" s="368">
        <v>17143</v>
      </c>
      <c r="G238" s="368">
        <v>17143</v>
      </c>
      <c r="H238" s="368">
        <v>17143</v>
      </c>
      <c r="I238" s="368">
        <v>17143</v>
      </c>
      <c r="J238" s="368">
        <v>17143</v>
      </c>
      <c r="K238" s="368">
        <v>17143</v>
      </c>
      <c r="L238" s="368">
        <v>17143</v>
      </c>
      <c r="M238" s="368">
        <v>17143</v>
      </c>
      <c r="N238" s="368">
        <v>17143</v>
      </c>
      <c r="O238" s="368">
        <v>17143</v>
      </c>
      <c r="P238" s="368">
        <v>17143</v>
      </c>
      <c r="Q238" s="368">
        <v>17143</v>
      </c>
      <c r="R238" s="586">
        <f>Q238+R234-R237</f>
        <v>17143</v>
      </c>
      <c r="S238" s="368">
        <v>17143</v>
      </c>
      <c r="T238" s="368">
        <v>17143</v>
      </c>
      <c r="U238" s="368">
        <v>17143</v>
      </c>
      <c r="V238" s="368">
        <v>17143</v>
      </c>
      <c r="W238" s="368">
        <v>17143</v>
      </c>
      <c r="X238" s="586">
        <f>W238+X234-X237</f>
        <v>17143</v>
      </c>
      <c r="Y238" s="368">
        <v>17143</v>
      </c>
      <c r="Z238" s="368">
        <v>17143</v>
      </c>
      <c r="AA238" s="368">
        <v>17143</v>
      </c>
      <c r="AB238" s="368">
        <v>17143</v>
      </c>
      <c r="AC238" s="368">
        <v>17143</v>
      </c>
      <c r="AD238" s="368">
        <v>17143</v>
      </c>
      <c r="AE238" s="368">
        <v>17143</v>
      </c>
      <c r="AF238" s="368">
        <v>17143</v>
      </c>
      <c r="AG238" s="368">
        <v>17143</v>
      </c>
      <c r="AH238" s="368">
        <v>17143</v>
      </c>
      <c r="AI238" s="368">
        <v>17143</v>
      </c>
      <c r="AJ238" s="635">
        <f t="shared" si="96"/>
        <v>531433</v>
      </c>
      <c r="AK238" s="631">
        <f>HLOOKUP(LEFT(Summary!$D$3,2),$E$228:$AI$240,7,FALSE)</f>
        <v>0</v>
      </c>
    </row>
    <row r="239" spans="1:39" hidden="1">
      <c r="C239" s="592" t="s">
        <v>179</v>
      </c>
      <c r="D239" s="591"/>
      <c r="E239" s="582">
        <v>0</v>
      </c>
      <c r="F239" s="582">
        <v>0</v>
      </c>
      <c r="G239" s="582">
        <v>0</v>
      </c>
      <c r="H239" s="582">
        <v>0</v>
      </c>
      <c r="I239" s="582">
        <v>0</v>
      </c>
      <c r="J239" s="582">
        <v>0</v>
      </c>
      <c r="K239" s="582">
        <v>0</v>
      </c>
      <c r="L239" s="582">
        <v>0</v>
      </c>
      <c r="M239" s="582">
        <v>0</v>
      </c>
      <c r="N239" s="582">
        <v>0</v>
      </c>
      <c r="O239" s="582">
        <v>0</v>
      </c>
      <c r="P239" s="582">
        <v>0</v>
      </c>
      <c r="Q239" s="582">
        <v>0</v>
      </c>
      <c r="R239" s="590">
        <v>3901</v>
      </c>
      <c r="S239" s="582">
        <v>0</v>
      </c>
      <c r="T239" s="582">
        <v>0</v>
      </c>
      <c r="U239" s="582">
        <v>0</v>
      </c>
      <c r="V239" s="582">
        <v>0</v>
      </c>
      <c r="W239" s="582">
        <v>0</v>
      </c>
      <c r="X239" s="590">
        <v>6501</v>
      </c>
      <c r="Y239" s="582">
        <v>0</v>
      </c>
      <c r="Z239" s="582">
        <v>0</v>
      </c>
      <c r="AA239" s="582">
        <v>0</v>
      </c>
      <c r="AB239" s="582">
        <v>0</v>
      </c>
      <c r="AC239" s="582">
        <v>0</v>
      </c>
      <c r="AD239" s="582">
        <v>0</v>
      </c>
      <c r="AE239" s="582">
        <v>0</v>
      </c>
      <c r="AF239" s="582">
        <v>0</v>
      </c>
      <c r="AG239" s="582">
        <v>0</v>
      </c>
      <c r="AH239" s="582">
        <v>0</v>
      </c>
      <c r="AI239" s="582">
        <v>0</v>
      </c>
      <c r="AJ239" s="632">
        <f>HLOOKUP(LEFT(Summary!$D$3,2),$E$228:$AI$240,12,FALSE)</f>
        <v>0</v>
      </c>
      <c r="AK239" s="631">
        <f>HLOOKUP(LEFT(Summary!$D$3,2),$E$228:$AI$240,12,FALSE)</f>
        <v>0</v>
      </c>
    </row>
    <row r="240" spans="1:39" hidden="1">
      <c r="C240" s="1002" t="s">
        <v>180</v>
      </c>
      <c r="D240" s="1003"/>
      <c r="E240" s="593">
        <v>50914</v>
      </c>
      <c r="F240" s="593">
        <v>0</v>
      </c>
      <c r="G240" s="593">
        <v>0</v>
      </c>
      <c r="H240" s="593">
        <v>0</v>
      </c>
      <c r="I240" s="593">
        <v>0</v>
      </c>
      <c r="J240" s="593">
        <v>0</v>
      </c>
      <c r="K240" s="593">
        <v>0</v>
      </c>
      <c r="L240" s="593">
        <v>0</v>
      </c>
      <c r="M240" s="593">
        <v>0</v>
      </c>
      <c r="N240" s="593">
        <v>0</v>
      </c>
      <c r="O240" s="593">
        <v>0</v>
      </c>
      <c r="P240" s="593">
        <v>0</v>
      </c>
      <c r="Q240" s="593">
        <v>0</v>
      </c>
      <c r="R240" s="586">
        <f>Q240+R236-R239</f>
        <v>-2530.6610000000001</v>
      </c>
      <c r="S240" s="593">
        <v>0</v>
      </c>
      <c r="T240" s="593">
        <v>0</v>
      </c>
      <c r="U240" s="593">
        <v>0</v>
      </c>
      <c r="V240" s="593">
        <v>0</v>
      </c>
      <c r="W240" s="593">
        <v>0</v>
      </c>
      <c r="X240" s="586">
        <f>W240+X236-X239</f>
        <v>-5130.6610000000001</v>
      </c>
      <c r="Y240" s="593">
        <v>0</v>
      </c>
      <c r="Z240" s="593">
        <v>0</v>
      </c>
      <c r="AA240" s="593">
        <v>0</v>
      </c>
      <c r="AB240" s="593">
        <v>0</v>
      </c>
      <c r="AC240" s="593">
        <v>0</v>
      </c>
      <c r="AD240" s="593">
        <v>0</v>
      </c>
      <c r="AE240" s="593">
        <v>0</v>
      </c>
      <c r="AF240" s="593">
        <v>0</v>
      </c>
      <c r="AG240" s="593">
        <v>0</v>
      </c>
      <c r="AH240" s="593">
        <v>0</v>
      </c>
      <c r="AI240" s="593">
        <v>0</v>
      </c>
      <c r="AJ240" s="634">
        <f>HLOOKUP(LEFT(Summary!$D$3,2),$E$228:$AI$240,13,FALSE)</f>
        <v>0</v>
      </c>
      <c r="AK240" s="631">
        <f>HLOOKUP(LEFT(Summary!$D$3,2),$E$228:$AI$240,13,FALSE)</f>
        <v>0</v>
      </c>
    </row>
    <row r="241" spans="1:38" ht="14.7" hidden="1" customHeight="1">
      <c r="C241" s="594" t="s">
        <v>181</v>
      </c>
      <c r="D241" s="594"/>
      <c r="E241" s="582">
        <f>B241+E237-E240</f>
        <v>-50914</v>
      </c>
      <c r="F241" s="595">
        <v>2400</v>
      </c>
      <c r="G241" s="596">
        <v>2400</v>
      </c>
      <c r="H241" s="596">
        <v>2400</v>
      </c>
      <c r="I241" s="596">
        <v>2400</v>
      </c>
      <c r="J241" s="596">
        <v>2400</v>
      </c>
      <c r="K241" s="368">
        <f>J241+K237-K240</f>
        <v>2400</v>
      </c>
      <c r="L241" s="596">
        <v>2400</v>
      </c>
      <c r="M241" s="368">
        <v>27115</v>
      </c>
      <c r="N241" s="586">
        <f>M241+N237-N240</f>
        <v>27115</v>
      </c>
      <c r="O241" s="368">
        <f>N241+O237-O240</f>
        <v>27115</v>
      </c>
      <c r="P241" s="596">
        <v>2400</v>
      </c>
      <c r="Q241" s="368">
        <f>P241+Q237-Q240</f>
        <v>2400</v>
      </c>
      <c r="R241" s="590">
        <v>3902</v>
      </c>
      <c r="S241" s="596">
        <v>2400</v>
      </c>
      <c r="T241" s="596">
        <v>2400</v>
      </c>
      <c r="U241" s="596">
        <v>2400</v>
      </c>
      <c r="V241" s="596">
        <v>2400</v>
      </c>
      <c r="W241" s="596">
        <v>2400</v>
      </c>
      <c r="X241" s="590">
        <v>6502</v>
      </c>
      <c r="Y241" s="596">
        <v>2400</v>
      </c>
      <c r="Z241" s="596"/>
      <c r="AA241" s="596"/>
      <c r="AB241" s="596">
        <v>2400</v>
      </c>
      <c r="AC241" s="596"/>
      <c r="AD241" s="612">
        <f>AC241+AD237-AD240</f>
        <v>0</v>
      </c>
      <c r="AE241" s="596"/>
      <c r="AF241" s="596"/>
      <c r="AG241" s="596"/>
      <c r="AH241" s="596"/>
      <c r="AI241" s="596">
        <v>2400</v>
      </c>
      <c r="AJ241" s="636">
        <f>2400*(LEFT(Summary!D3,2))</f>
        <v>16800</v>
      </c>
      <c r="AK241" s="631"/>
    </row>
    <row r="242" spans="1:38" hidden="1">
      <c r="C242" s="597" t="s">
        <v>182</v>
      </c>
      <c r="D242" s="597"/>
      <c r="E242" s="582">
        <v>17258</v>
      </c>
      <c r="F242" s="595">
        <v>0</v>
      </c>
      <c r="G242" s="595">
        <v>0</v>
      </c>
      <c r="H242" s="595">
        <v>0</v>
      </c>
      <c r="I242" s="595">
        <v>0</v>
      </c>
      <c r="J242" s="595">
        <v>0</v>
      </c>
      <c r="K242" s="582">
        <v>38847</v>
      </c>
      <c r="L242" s="595">
        <v>0</v>
      </c>
      <c r="M242" s="582">
        <v>32549.5</v>
      </c>
      <c r="N242" s="582">
        <v>34640</v>
      </c>
      <c r="O242" s="582">
        <v>21044</v>
      </c>
      <c r="P242" s="595">
        <v>0</v>
      </c>
      <c r="Q242" s="582">
        <v>25194</v>
      </c>
      <c r="R242" s="586">
        <f>Q242+R238-R241</f>
        <v>38435</v>
      </c>
      <c r="S242" s="595">
        <v>0</v>
      </c>
      <c r="T242" s="595">
        <v>0</v>
      </c>
      <c r="U242" s="595">
        <v>0</v>
      </c>
      <c r="V242" s="595">
        <v>0</v>
      </c>
      <c r="W242" s="595">
        <v>0</v>
      </c>
      <c r="X242" s="586">
        <f>W242+X238-X241</f>
        <v>10641</v>
      </c>
      <c r="Y242" s="595">
        <v>0</v>
      </c>
      <c r="Z242" s="595">
        <v>0</v>
      </c>
      <c r="AA242" s="595">
        <v>0</v>
      </c>
      <c r="AB242" s="595">
        <v>0</v>
      </c>
      <c r="AC242" s="595">
        <v>0</v>
      </c>
      <c r="AD242" s="582">
        <v>25042</v>
      </c>
      <c r="AE242" s="595">
        <v>19609</v>
      </c>
      <c r="AF242" s="595">
        <v>0</v>
      </c>
      <c r="AG242" s="595">
        <v>0</v>
      </c>
      <c r="AH242" s="595">
        <v>0</v>
      </c>
      <c r="AI242" s="595">
        <v>0</v>
      </c>
      <c r="AJ242" s="636">
        <f>SUM(E242:AI242)</f>
        <v>263259.5</v>
      </c>
      <c r="AK242" s="637">
        <f>100%-(AJ242/AJ241)</f>
        <v>-14.670208333333333</v>
      </c>
    </row>
    <row r="243" spans="1:38">
      <c r="E243" s="219"/>
      <c r="F243" s="533" t="s">
        <v>183</v>
      </c>
      <c r="G243" s="533">
        <f>F236+G232-G235</f>
        <v>1370.3389999999999</v>
      </c>
      <c r="H243" s="219"/>
      <c r="I243" s="219"/>
      <c r="J243" s="231">
        <v>151547.48000000001</v>
      </c>
      <c r="K243" s="219"/>
      <c r="L243" s="219" t="s">
        <v>184</v>
      </c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</row>
    <row r="244" spans="1:38" ht="17.399999999999999">
      <c r="A244" s="221"/>
      <c r="B244" s="221"/>
      <c r="C244" s="388" t="str">
        <f>"4.Rainfall Actual "&amp;MID(C2,13,20)</f>
        <v>4.Rainfall Actual Sep'26</v>
      </c>
      <c r="D244" s="388"/>
      <c r="G244" s="221"/>
      <c r="M244" s="606"/>
      <c r="N244" s="606"/>
      <c r="O244" s="607"/>
      <c r="V244" s="221"/>
      <c r="AC244" s="221"/>
      <c r="AD244" s="221"/>
    </row>
    <row r="245" spans="1:38">
      <c r="C245" s="1004" t="s">
        <v>185</v>
      </c>
      <c r="D245" s="1005"/>
      <c r="E245" s="883" t="s">
        <v>61</v>
      </c>
      <c r="F245" s="883" t="s">
        <v>62</v>
      </c>
      <c r="G245" s="883" t="s">
        <v>63</v>
      </c>
      <c r="H245" s="883" t="s">
        <v>64</v>
      </c>
      <c r="I245" s="883" t="s">
        <v>65</v>
      </c>
      <c r="J245" s="883" t="s">
        <v>66</v>
      </c>
      <c r="K245" s="883" t="s">
        <v>67</v>
      </c>
      <c r="L245" s="883" t="s">
        <v>68</v>
      </c>
      <c r="M245" s="883" t="s">
        <v>69</v>
      </c>
      <c r="N245" s="883" t="s">
        <v>70</v>
      </c>
      <c r="O245" s="883" t="s">
        <v>71</v>
      </c>
      <c r="P245" s="883" t="s">
        <v>72</v>
      </c>
      <c r="Q245" s="883" t="s">
        <v>73</v>
      </c>
      <c r="R245" s="883" t="s">
        <v>74</v>
      </c>
      <c r="S245" s="883" t="s">
        <v>75</v>
      </c>
      <c r="T245" s="883" t="s">
        <v>76</v>
      </c>
      <c r="U245" s="883" t="s">
        <v>77</v>
      </c>
      <c r="V245" s="883" t="s">
        <v>78</v>
      </c>
      <c r="W245" s="883" t="s">
        <v>79</v>
      </c>
      <c r="X245" s="883" t="s">
        <v>80</v>
      </c>
      <c r="Y245" s="883" t="s">
        <v>81</v>
      </c>
      <c r="Z245" s="883" t="s">
        <v>82</v>
      </c>
      <c r="AA245" s="883" t="s">
        <v>83</v>
      </c>
      <c r="AB245" s="883" t="s">
        <v>84</v>
      </c>
      <c r="AC245" s="883" t="s">
        <v>85</v>
      </c>
      <c r="AD245" s="883" t="s">
        <v>86</v>
      </c>
      <c r="AE245" s="883" t="s">
        <v>87</v>
      </c>
      <c r="AF245" s="883" t="s">
        <v>88</v>
      </c>
      <c r="AG245" s="883" t="s">
        <v>89</v>
      </c>
      <c r="AH245" s="883" t="s">
        <v>90</v>
      </c>
      <c r="AI245" s="883" t="s">
        <v>91</v>
      </c>
      <c r="AJ245" s="359" t="s">
        <v>186</v>
      </c>
    </row>
    <row r="246" spans="1:38" ht="15" hidden="1" customHeight="1">
      <c r="C246" s="598" t="s">
        <v>187</v>
      </c>
      <c r="D246" s="599"/>
      <c r="E246" s="600">
        <v>0</v>
      </c>
      <c r="F246" s="601">
        <v>0</v>
      </c>
      <c r="G246" s="601">
        <v>0</v>
      </c>
      <c r="H246" s="601">
        <v>0</v>
      </c>
      <c r="I246" s="601">
        <v>0</v>
      </c>
      <c r="J246" s="601">
        <v>0</v>
      </c>
      <c r="K246" s="601">
        <v>0</v>
      </c>
      <c r="L246" s="601">
        <v>0</v>
      </c>
      <c r="M246" s="601">
        <v>0</v>
      </c>
      <c r="N246" s="601">
        <v>0</v>
      </c>
      <c r="O246" s="601">
        <v>0</v>
      </c>
      <c r="P246" s="601">
        <v>0</v>
      </c>
      <c r="Q246" s="601">
        <v>0</v>
      </c>
      <c r="R246" s="601">
        <v>0</v>
      </c>
      <c r="S246" s="601">
        <v>0</v>
      </c>
      <c r="T246" s="601">
        <v>0</v>
      </c>
      <c r="U246" s="601">
        <v>0</v>
      </c>
      <c r="V246" s="601">
        <v>0</v>
      </c>
      <c r="W246" s="601">
        <v>0</v>
      </c>
      <c r="X246" s="601">
        <v>0</v>
      </c>
      <c r="Y246" s="601">
        <v>0</v>
      </c>
      <c r="Z246" s="601">
        <v>0</v>
      </c>
      <c r="AA246" s="601">
        <v>0</v>
      </c>
      <c r="AB246" s="601">
        <v>0</v>
      </c>
      <c r="AC246" s="601">
        <v>0</v>
      </c>
      <c r="AD246" s="601">
        <v>0</v>
      </c>
      <c r="AE246" s="601">
        <v>0</v>
      </c>
      <c r="AF246" s="601">
        <v>0</v>
      </c>
      <c r="AG246" s="601">
        <v>0</v>
      </c>
      <c r="AH246" s="601">
        <v>0</v>
      </c>
      <c r="AI246" s="601">
        <v>0</v>
      </c>
      <c r="AJ246" s="638">
        <f>SUM(E246:AI246)</f>
        <v>0</v>
      </c>
    </row>
    <row r="247" spans="1:38" hidden="1">
      <c r="C247" s="1006" t="s">
        <v>122</v>
      </c>
      <c r="D247" s="1007"/>
      <c r="E247" s="602">
        <v>0</v>
      </c>
      <c r="F247" s="602">
        <v>0</v>
      </c>
      <c r="G247" s="602">
        <v>0</v>
      </c>
      <c r="H247" s="602">
        <v>0</v>
      </c>
      <c r="I247" s="602">
        <v>0</v>
      </c>
      <c r="J247" s="602">
        <v>0</v>
      </c>
      <c r="K247" s="602">
        <v>0</v>
      </c>
      <c r="L247" s="602">
        <v>0</v>
      </c>
      <c r="M247" s="602">
        <v>0</v>
      </c>
      <c r="N247" s="602">
        <v>0</v>
      </c>
      <c r="O247" s="602">
        <v>0</v>
      </c>
      <c r="P247" s="602">
        <v>0</v>
      </c>
      <c r="Q247" s="602">
        <v>0</v>
      </c>
      <c r="R247" s="602">
        <v>0</v>
      </c>
      <c r="S247" s="602">
        <v>0</v>
      </c>
      <c r="T247" s="602">
        <v>0</v>
      </c>
      <c r="U247" s="602">
        <v>0</v>
      </c>
      <c r="V247" s="602">
        <v>0</v>
      </c>
      <c r="W247" s="602">
        <v>0</v>
      </c>
      <c r="X247" s="602">
        <v>0</v>
      </c>
      <c r="Y247" s="602">
        <v>0</v>
      </c>
      <c r="Z247" s="602">
        <v>0</v>
      </c>
      <c r="AA247" s="602">
        <v>0</v>
      </c>
      <c r="AB247" s="602">
        <v>0</v>
      </c>
      <c r="AC247" s="602">
        <v>0</v>
      </c>
      <c r="AD247" s="602">
        <v>0</v>
      </c>
      <c r="AE247" s="602">
        <v>0</v>
      </c>
      <c r="AF247" s="602">
        <v>0</v>
      </c>
      <c r="AG247" s="602">
        <v>0</v>
      </c>
      <c r="AH247" s="602">
        <v>0</v>
      </c>
      <c r="AI247" s="602">
        <v>0</v>
      </c>
      <c r="AJ247" s="638">
        <f>SUM(E247:AI247)</f>
        <v>0</v>
      </c>
    </row>
    <row r="248" spans="1:38">
      <c r="C248" s="1008" t="s">
        <v>111</v>
      </c>
      <c r="D248" s="1009"/>
      <c r="E248" s="602">
        <f>SUMIFS(Rainfall[RAINFALL (mm)],Rainfall[DAY],Actual!E$245,Rainfall[PIT],Actual!$C$248)</f>
        <v>0</v>
      </c>
      <c r="F248" s="602">
        <f>SUMIFS(Rainfall[RAINFALL (mm)],Rainfall[DAY],Actual!F$245,Rainfall[PIT],Actual!$C$248)</f>
        <v>0</v>
      </c>
      <c r="G248" s="602">
        <f>SUMIFS(Rainfall[RAINFALL (mm)],Rainfall[DAY],Actual!G$245,Rainfall[PIT],Actual!$C$248)</f>
        <v>0</v>
      </c>
      <c r="H248" s="602">
        <f>SUMIFS(Rainfall[RAINFALL (mm)],Rainfall[DAY],Actual!H$245,Rainfall[PIT],Actual!$C$248)</f>
        <v>0</v>
      </c>
      <c r="I248" s="602">
        <f>SUMIFS(Rainfall[RAINFALL (mm)],Rainfall[DAY],Actual!I$245,Rainfall[PIT],Actual!$C$248)</f>
        <v>0</v>
      </c>
      <c r="J248" s="602">
        <f>SUMIFS(Rainfall[RAINFALL (mm)],Rainfall[DAY],Actual!J$245,Rainfall[PIT],Actual!$C$248)</f>
        <v>0</v>
      </c>
      <c r="K248" s="602">
        <f>SUMIFS(Rainfall[RAINFALL (mm)],Rainfall[DAY],Actual!K$245,Rainfall[PIT],Actual!$C$248)</f>
        <v>0</v>
      </c>
      <c r="L248" s="602">
        <f>SUMIFS(Rainfall[RAINFALL (mm)],Rainfall[DAY],Actual!L$245,Rainfall[PIT],Actual!$C$248)</f>
        <v>0</v>
      </c>
      <c r="M248" s="602">
        <f>SUMIFS(Rainfall[RAINFALL (mm)],Rainfall[DAY],Actual!M$245,Rainfall[PIT],Actual!$C$248)</f>
        <v>0</v>
      </c>
      <c r="N248" s="602">
        <f>SUMIFS(Rainfall[RAINFALL (mm)],Rainfall[DAY],Actual!N$245,Rainfall[PIT],Actual!$C$248)</f>
        <v>0</v>
      </c>
      <c r="O248" s="602">
        <f>SUMIFS(Rainfall[RAINFALL (mm)],Rainfall[DAY],Actual!O$245,Rainfall[PIT],Actual!$C$248)</f>
        <v>0</v>
      </c>
      <c r="P248" s="602">
        <f>SUMIFS(Rainfall[RAINFALL (mm)],Rainfall[DAY],Actual!P$245,Rainfall[PIT],Actual!$C$248)</f>
        <v>0</v>
      </c>
      <c r="Q248" s="602">
        <f>SUMIFS(Rainfall[RAINFALL (mm)],Rainfall[DAY],Actual!Q$245,Rainfall[PIT],Actual!$C$248)</f>
        <v>0</v>
      </c>
      <c r="R248" s="602">
        <f>SUMIFS(Rainfall[RAINFALL (mm)],Rainfall[DAY],Actual!R$245,Rainfall[PIT],Actual!$C$248)</f>
        <v>0</v>
      </c>
      <c r="S248" s="602">
        <f>SUMIFS(Rainfall[RAINFALL (mm)],Rainfall[DAY],Actual!S$245,Rainfall[PIT],Actual!$C$248)</f>
        <v>0</v>
      </c>
      <c r="T248" s="602">
        <f>SUMIFS(Rainfall[RAINFALL (mm)],Rainfall[DAY],Actual!T$245,Rainfall[PIT],Actual!$C$248)</f>
        <v>0</v>
      </c>
      <c r="U248" s="602">
        <f>SUMIFS(Rainfall[RAINFALL (mm)],Rainfall[DAY],Actual!U$245,Rainfall[PIT],Actual!$C$248)</f>
        <v>0</v>
      </c>
      <c r="V248" s="602">
        <f>SUMIFS(Rainfall[RAINFALL (mm)],Rainfall[DAY],Actual!V$245,Rainfall[PIT],Actual!$C$248)</f>
        <v>0</v>
      </c>
      <c r="W248" s="602">
        <f>SUMIFS(Rainfall[RAINFALL (mm)],Rainfall[DAY],Actual!W$245,Rainfall[PIT],Actual!$C$248)</f>
        <v>0</v>
      </c>
      <c r="X248" s="602">
        <f>SUMIFS(Rainfall[RAINFALL (mm)],Rainfall[DAY],Actual!X$245,Rainfall[PIT],Actual!$C$248)</f>
        <v>0</v>
      </c>
      <c r="Y248" s="602">
        <f>SUMIFS(Rainfall[RAINFALL (mm)],Rainfall[DAY],Actual!Y$245,Rainfall[PIT],Actual!$C$248)</f>
        <v>0</v>
      </c>
      <c r="Z248" s="602">
        <f>SUMIFS(Rainfall[RAINFALL (mm)],Rainfall[DAY],Actual!Z$245,Rainfall[PIT],Actual!$C$248)</f>
        <v>0</v>
      </c>
      <c r="AA248" s="602">
        <f>SUMIFS(Rainfall[RAINFALL (mm)],Rainfall[DAY],Actual!AA$245,Rainfall[PIT],Actual!$C$248)</f>
        <v>0</v>
      </c>
      <c r="AB248" s="602">
        <f>SUMIFS(Rainfall[RAINFALL (mm)],Rainfall[DAY],Actual!AB$245,Rainfall[PIT],Actual!$C$248)</f>
        <v>0</v>
      </c>
      <c r="AC248" s="602">
        <f>SUMIFS(Rainfall[RAINFALL (mm)],Rainfall[DAY],Actual!AC$245,Rainfall[PIT],Actual!$C$248)</f>
        <v>0</v>
      </c>
      <c r="AD248" s="602">
        <f>SUMIFS(Rainfall[RAINFALL (mm)],Rainfall[DAY],Actual!AD$245,Rainfall[PIT],Actual!$C$248)</f>
        <v>0</v>
      </c>
      <c r="AE248" s="602">
        <f>SUMIFS(Rainfall[RAINFALL (mm)],Rainfall[DAY],Actual!AE$245,Rainfall[PIT],Actual!$C$248)</f>
        <v>0</v>
      </c>
      <c r="AF248" s="602">
        <f>SUMIFS(Rainfall[RAINFALL (mm)],Rainfall[DAY],Actual!AF$245,Rainfall[PIT],Actual!$C$248)</f>
        <v>0</v>
      </c>
      <c r="AG248" s="602">
        <f>SUMIFS(Rainfall[RAINFALL (mm)],Rainfall[DAY],Actual!AG$245,Rainfall[PIT],Actual!$C$248)</f>
        <v>0</v>
      </c>
      <c r="AH248" s="602">
        <f>SUMIFS(Rainfall[RAINFALL (mm)],Rainfall[DAY],Actual!AH$245,Rainfall[PIT],Actual!$C$248)</f>
        <v>0</v>
      </c>
      <c r="AI248" s="602">
        <f>SUMIFS(Rainfall[RAINFALL (mm)],Rainfall[DAY],Actual!AI$245,Rainfall[PIT],Actual!$C$248)</f>
        <v>0</v>
      </c>
      <c r="AJ248" s="639">
        <f>SUM(E248:AI248)</f>
        <v>0</v>
      </c>
    </row>
    <row r="249" spans="1:38">
      <c r="C249" s="1010" t="s">
        <v>188</v>
      </c>
      <c r="D249" s="1011"/>
      <c r="E249" s="603">
        <f>MAX(E247:E248)</f>
        <v>0</v>
      </c>
      <c r="F249" s="603">
        <f t="shared" ref="F249:AI249" si="102">MAX(F247:F248)</f>
        <v>0</v>
      </c>
      <c r="G249" s="603">
        <f t="shared" si="102"/>
        <v>0</v>
      </c>
      <c r="H249" s="603">
        <f t="shared" si="102"/>
        <v>0</v>
      </c>
      <c r="I249" s="603">
        <f t="shared" si="102"/>
        <v>0</v>
      </c>
      <c r="J249" s="603">
        <f t="shared" si="102"/>
        <v>0</v>
      </c>
      <c r="K249" s="603">
        <f t="shared" si="102"/>
        <v>0</v>
      </c>
      <c r="L249" s="603">
        <f t="shared" si="102"/>
        <v>0</v>
      </c>
      <c r="M249" s="603">
        <f t="shared" si="102"/>
        <v>0</v>
      </c>
      <c r="N249" s="603">
        <f t="shared" si="102"/>
        <v>0</v>
      </c>
      <c r="O249" s="603">
        <f t="shared" si="102"/>
        <v>0</v>
      </c>
      <c r="P249" s="603">
        <f t="shared" si="102"/>
        <v>0</v>
      </c>
      <c r="Q249" s="603">
        <f t="shared" si="102"/>
        <v>0</v>
      </c>
      <c r="R249" s="603">
        <f t="shared" si="102"/>
        <v>0</v>
      </c>
      <c r="S249" s="603">
        <f t="shared" si="102"/>
        <v>0</v>
      </c>
      <c r="T249" s="603">
        <f t="shared" si="102"/>
        <v>0</v>
      </c>
      <c r="U249" s="603">
        <f t="shared" si="102"/>
        <v>0</v>
      </c>
      <c r="V249" s="603">
        <f t="shared" si="102"/>
        <v>0</v>
      </c>
      <c r="W249" s="603">
        <f t="shared" si="102"/>
        <v>0</v>
      </c>
      <c r="X249" s="603">
        <f t="shared" si="102"/>
        <v>0</v>
      </c>
      <c r="Y249" s="603">
        <f t="shared" si="102"/>
        <v>0</v>
      </c>
      <c r="Z249" s="603">
        <f t="shared" si="102"/>
        <v>0</v>
      </c>
      <c r="AA249" s="603">
        <f t="shared" si="102"/>
        <v>0</v>
      </c>
      <c r="AB249" s="603">
        <f t="shared" si="102"/>
        <v>0</v>
      </c>
      <c r="AC249" s="603">
        <f t="shared" si="102"/>
        <v>0</v>
      </c>
      <c r="AD249" s="603">
        <f t="shared" si="102"/>
        <v>0</v>
      </c>
      <c r="AE249" s="603">
        <f t="shared" si="102"/>
        <v>0</v>
      </c>
      <c r="AF249" s="603">
        <f t="shared" si="102"/>
        <v>0</v>
      </c>
      <c r="AG249" s="603">
        <f t="shared" si="102"/>
        <v>0</v>
      </c>
      <c r="AH249" s="603">
        <f t="shared" si="102"/>
        <v>0</v>
      </c>
      <c r="AI249" s="603">
        <f t="shared" si="102"/>
        <v>0</v>
      </c>
      <c r="AJ249" s="640">
        <f>SUM(E249:AI249)</f>
        <v>0</v>
      </c>
      <c r="AK249" s="533">
        <f>SUM(E249:AI249)</f>
        <v>0</v>
      </c>
      <c r="AL249" s="230"/>
    </row>
    <row r="250" spans="1:38">
      <c r="G250" s="235"/>
      <c r="K250" s="221"/>
      <c r="W250" s="219"/>
      <c r="AJ250" s="641">
        <f>HLOOKUP(LEFT(Summary!D3,2),Actual!E245:AI249,5,FALSE)</f>
        <v>0</v>
      </c>
      <c r="AK250" s="230" t="s">
        <v>183</v>
      </c>
      <c r="AL250" s="230"/>
    </row>
    <row r="251" spans="1:38" ht="17.399999999999999">
      <c r="C251" s="388" t="str">
        <f>"5.Rainfall Duration Actual "&amp;MID(C2,13,20)</f>
        <v>5.Rainfall Duration Actual Sep'26</v>
      </c>
      <c r="D251" s="388"/>
      <c r="AK251" s="230"/>
      <c r="AL251" s="230"/>
    </row>
    <row r="252" spans="1:38">
      <c r="C252" s="1004" t="s">
        <v>185</v>
      </c>
      <c r="D252" s="1005"/>
      <c r="E252" s="883" t="s">
        <v>61</v>
      </c>
      <c r="F252" s="883" t="s">
        <v>62</v>
      </c>
      <c r="G252" s="883" t="s">
        <v>63</v>
      </c>
      <c r="H252" s="883" t="s">
        <v>64</v>
      </c>
      <c r="I252" s="883" t="s">
        <v>65</v>
      </c>
      <c r="J252" s="883" t="s">
        <v>66</v>
      </c>
      <c r="K252" s="883" t="s">
        <v>67</v>
      </c>
      <c r="L252" s="883" t="s">
        <v>68</v>
      </c>
      <c r="M252" s="883" t="s">
        <v>69</v>
      </c>
      <c r="N252" s="883" t="s">
        <v>70</v>
      </c>
      <c r="O252" s="883" t="s">
        <v>71</v>
      </c>
      <c r="P252" s="883" t="s">
        <v>72</v>
      </c>
      <c r="Q252" s="883" t="s">
        <v>73</v>
      </c>
      <c r="R252" s="883" t="s">
        <v>74</v>
      </c>
      <c r="S252" s="883" t="s">
        <v>75</v>
      </c>
      <c r="T252" s="883" t="s">
        <v>76</v>
      </c>
      <c r="U252" s="883" t="s">
        <v>77</v>
      </c>
      <c r="V252" s="883" t="s">
        <v>78</v>
      </c>
      <c r="W252" s="883" t="s">
        <v>79</v>
      </c>
      <c r="X252" s="883" t="s">
        <v>80</v>
      </c>
      <c r="Y252" s="883" t="s">
        <v>81</v>
      </c>
      <c r="Z252" s="883" t="s">
        <v>82</v>
      </c>
      <c r="AA252" s="883" t="s">
        <v>83</v>
      </c>
      <c r="AB252" s="883" t="s">
        <v>84</v>
      </c>
      <c r="AC252" s="883" t="s">
        <v>85</v>
      </c>
      <c r="AD252" s="883" t="s">
        <v>86</v>
      </c>
      <c r="AE252" s="883" t="s">
        <v>87</v>
      </c>
      <c r="AF252" s="883" t="s">
        <v>88</v>
      </c>
      <c r="AG252" s="883" t="s">
        <v>89</v>
      </c>
      <c r="AH252" s="883" t="s">
        <v>90</v>
      </c>
      <c r="AI252" s="883" t="s">
        <v>91</v>
      </c>
      <c r="AJ252" s="359" t="s">
        <v>186</v>
      </c>
      <c r="AK252" s="230"/>
      <c r="AL252" s="230"/>
    </row>
    <row r="253" spans="1:38" hidden="1">
      <c r="C253" s="598" t="s">
        <v>187</v>
      </c>
      <c r="D253" s="598"/>
      <c r="E253" s="601">
        <v>0</v>
      </c>
      <c r="F253" s="601">
        <v>0</v>
      </c>
      <c r="G253" s="601">
        <v>0</v>
      </c>
      <c r="H253" s="601">
        <v>0</v>
      </c>
      <c r="I253" s="601">
        <v>0</v>
      </c>
      <c r="J253" s="601">
        <v>0</v>
      </c>
      <c r="K253" s="601">
        <v>0</v>
      </c>
      <c r="L253" s="601">
        <v>0</v>
      </c>
      <c r="M253" s="601">
        <v>0</v>
      </c>
      <c r="N253" s="601">
        <v>0</v>
      </c>
      <c r="O253" s="601">
        <v>0</v>
      </c>
      <c r="P253" s="601">
        <v>0</v>
      </c>
      <c r="Q253" s="601">
        <v>0</v>
      </c>
      <c r="R253" s="601">
        <v>0</v>
      </c>
      <c r="S253" s="601">
        <v>0</v>
      </c>
      <c r="T253" s="601">
        <v>0</v>
      </c>
      <c r="U253" s="601">
        <v>0</v>
      </c>
      <c r="V253" s="601">
        <v>0</v>
      </c>
      <c r="W253" s="601">
        <v>0</v>
      </c>
      <c r="X253" s="601">
        <v>0</v>
      </c>
      <c r="Y253" s="601">
        <v>0</v>
      </c>
      <c r="Z253" s="601">
        <v>0</v>
      </c>
      <c r="AA253" s="601">
        <v>0</v>
      </c>
      <c r="AB253" s="601">
        <v>0</v>
      </c>
      <c r="AC253" s="601">
        <v>0</v>
      </c>
      <c r="AD253" s="601">
        <v>0</v>
      </c>
      <c r="AE253" s="601">
        <v>0</v>
      </c>
      <c r="AF253" s="601">
        <v>0</v>
      </c>
      <c r="AG253" s="601">
        <v>0</v>
      </c>
      <c r="AH253" s="601">
        <v>0</v>
      </c>
      <c r="AI253" s="601">
        <v>0</v>
      </c>
      <c r="AJ253" s="638">
        <f>SUM(E253:AI253)</f>
        <v>0</v>
      </c>
      <c r="AK253" s="230"/>
      <c r="AL253" s="230"/>
    </row>
    <row r="254" spans="1:38" hidden="1">
      <c r="C254" s="1006" t="s">
        <v>122</v>
      </c>
      <c r="D254" s="1007"/>
      <c r="E254" s="602">
        <v>0</v>
      </c>
      <c r="F254" s="602">
        <v>0</v>
      </c>
      <c r="G254" s="602">
        <v>0</v>
      </c>
      <c r="H254" s="602">
        <v>0</v>
      </c>
      <c r="I254" s="602">
        <v>0</v>
      </c>
      <c r="J254" s="602">
        <v>0</v>
      </c>
      <c r="K254" s="602">
        <v>0</v>
      </c>
      <c r="L254" s="602">
        <v>0</v>
      </c>
      <c r="M254" s="602">
        <v>0</v>
      </c>
      <c r="N254" s="602">
        <v>0</v>
      </c>
      <c r="O254" s="602">
        <v>0</v>
      </c>
      <c r="P254" s="602">
        <v>0</v>
      </c>
      <c r="Q254" s="602">
        <v>0</v>
      </c>
      <c r="R254" s="602">
        <v>0</v>
      </c>
      <c r="S254" s="602">
        <v>0</v>
      </c>
      <c r="T254" s="602">
        <v>0</v>
      </c>
      <c r="U254" s="602">
        <v>0</v>
      </c>
      <c r="V254" s="602">
        <v>0</v>
      </c>
      <c r="W254" s="602">
        <v>0</v>
      </c>
      <c r="X254" s="602">
        <v>0</v>
      </c>
      <c r="Y254" s="602">
        <v>0</v>
      </c>
      <c r="Z254" s="602">
        <v>0</v>
      </c>
      <c r="AA254" s="602">
        <v>0</v>
      </c>
      <c r="AB254" s="602">
        <v>0</v>
      </c>
      <c r="AC254" s="602">
        <v>0</v>
      </c>
      <c r="AD254" s="602">
        <v>0</v>
      </c>
      <c r="AE254" s="602">
        <v>0</v>
      </c>
      <c r="AF254" s="602">
        <v>0</v>
      </c>
      <c r="AG254" s="602">
        <v>0</v>
      </c>
      <c r="AH254" s="602">
        <v>0</v>
      </c>
      <c r="AI254" s="602">
        <v>0</v>
      </c>
      <c r="AJ254" s="638">
        <f>SUM(E254:AI254)</f>
        <v>0</v>
      </c>
      <c r="AK254" s="230"/>
      <c r="AL254" s="230"/>
    </row>
    <row r="255" spans="1:38">
      <c r="C255" s="1008" t="s">
        <v>111</v>
      </c>
      <c r="D255" s="1009"/>
      <c r="E255" s="602">
        <f>SUMIFS(Rainfall[Duration],Rainfall[DAY],Actual!E$252,Rainfall[PIT],Actual!$C$255,Rainfall[REMARK],"RAIN")</f>
        <v>0</v>
      </c>
      <c r="F255" s="602">
        <f>SUMIFS(Rainfall[Duration],Rainfall[DAY],Actual!F$252,Rainfall[PIT],Actual!$C$255,Rainfall[REMARK],"RAIN")</f>
        <v>0</v>
      </c>
      <c r="G255" s="602">
        <f>SUMIFS(Rainfall[Duration],Rainfall[DAY],Actual!G$252,Rainfall[PIT],Actual!$C$255,Rainfall[REMARK],"RAIN")</f>
        <v>0</v>
      </c>
      <c r="H255" s="602">
        <f>SUMIFS(Rainfall[Duration],Rainfall[DAY],Actual!H$252,Rainfall[PIT],Actual!$C$255,Rainfall[REMARK],"RAIN")</f>
        <v>0</v>
      </c>
      <c r="I255" s="602">
        <f>SUMIFS(Rainfall[Duration],Rainfall[DAY],Actual!I$252,Rainfall[PIT],Actual!$C$255,Rainfall[REMARK],"RAIN")</f>
        <v>0</v>
      </c>
      <c r="J255" s="602">
        <f>SUMIFS(Rainfall[Duration],Rainfall[DAY],Actual!J$252,Rainfall[PIT],Actual!$C$255,Rainfall[REMARK],"RAIN")</f>
        <v>0</v>
      </c>
      <c r="K255" s="602">
        <f>SUMIFS(Rainfall[Duration],Rainfall[DAY],Actual!K$252,Rainfall[PIT],Actual!$C$255,Rainfall[REMARK],"RAIN")</f>
        <v>0</v>
      </c>
      <c r="L255" s="602">
        <f>SUMIFS(Rainfall[Duration],Rainfall[DAY],Actual!L$252,Rainfall[PIT],Actual!$C$255,Rainfall[REMARK],"RAIN")</f>
        <v>0</v>
      </c>
      <c r="M255" s="602">
        <f>SUMIFS(Rainfall[Duration],Rainfall[DAY],Actual!M$252,Rainfall[PIT],Actual!$C$255,Rainfall[REMARK],"RAIN")</f>
        <v>0</v>
      </c>
      <c r="N255" s="602">
        <f>SUMIFS(Rainfall[Duration],Rainfall[DAY],Actual!N$252,Rainfall[PIT],Actual!$C$255,Rainfall[REMARK],"RAIN")</f>
        <v>0</v>
      </c>
      <c r="O255" s="602">
        <f>SUMIFS(Rainfall[Duration],Rainfall[DAY],Actual!O$252,Rainfall[PIT],Actual!$C$255,Rainfall[REMARK],"RAIN")</f>
        <v>0</v>
      </c>
      <c r="P255" s="602">
        <f>SUMIFS(Rainfall[Duration],Rainfall[DAY],Actual!P$252,Rainfall[PIT],Actual!$C$255,Rainfall[REMARK],"RAIN")</f>
        <v>0</v>
      </c>
      <c r="Q255" s="602">
        <f>SUMIFS(Rainfall[Duration],Rainfall[DAY],Actual!Q$252,Rainfall[PIT],Actual!$C$255,Rainfall[REMARK],"RAIN")</f>
        <v>0</v>
      </c>
      <c r="R255" s="602">
        <f>SUMIFS(Rainfall[Duration],Rainfall[DAY],Actual!R$252,Rainfall[PIT],Actual!$C$255,Rainfall[REMARK],"RAIN")</f>
        <v>0</v>
      </c>
      <c r="S255" s="602">
        <f>SUMIFS(Rainfall[Duration],Rainfall[DAY],Actual!S$252,Rainfall[PIT],Actual!$C$255,Rainfall[REMARK],"RAIN")</f>
        <v>0</v>
      </c>
      <c r="T255" s="602">
        <f>SUMIFS(Rainfall[Duration],Rainfall[DAY],Actual!T$252,Rainfall[PIT],Actual!$C$255,Rainfall[REMARK],"RAIN")</f>
        <v>0</v>
      </c>
      <c r="U255" s="602">
        <f>SUMIFS(Rainfall[Duration],Rainfall[DAY],Actual!U$252,Rainfall[PIT],Actual!$C$255,Rainfall[REMARK],"RAIN")</f>
        <v>0</v>
      </c>
      <c r="V255" s="602">
        <f>SUMIFS(Rainfall[Duration],Rainfall[DAY],Actual!V$252,Rainfall[PIT],Actual!$C$255,Rainfall[REMARK],"RAIN")</f>
        <v>0</v>
      </c>
      <c r="W255" s="602">
        <f>SUMIFS(Rainfall[Duration],Rainfall[DAY],Actual!W$252,Rainfall[PIT],Actual!$C$255,Rainfall[REMARK],"RAIN")</f>
        <v>0</v>
      </c>
      <c r="X255" s="602">
        <f>SUMIFS(Rainfall[Duration],Rainfall[DAY],Actual!X$252,Rainfall[PIT],Actual!$C$255,Rainfall[REMARK],"RAIN")</f>
        <v>0</v>
      </c>
      <c r="Y255" s="602">
        <f>SUMIFS(Rainfall[Duration],Rainfall[DAY],Actual!Y$252,Rainfall[PIT],Actual!$C$255,Rainfall[REMARK],"RAIN")</f>
        <v>0</v>
      </c>
      <c r="Z255" s="602">
        <f>SUMIFS(Rainfall[Duration],Rainfall[DAY],Actual!Z$252,Rainfall[PIT],Actual!$C$255,Rainfall[REMARK],"RAIN")</f>
        <v>0</v>
      </c>
      <c r="AA255" s="602">
        <f>SUMIFS(Rainfall[Duration],Rainfall[DAY],Actual!AA$252,Rainfall[PIT],Actual!$C$255,Rainfall[REMARK],"RAIN")</f>
        <v>0</v>
      </c>
      <c r="AB255" s="602">
        <f>SUMIFS(Rainfall[Duration],Rainfall[DAY],Actual!AB$252,Rainfall[PIT],Actual!$C$255,Rainfall[REMARK],"RAIN")</f>
        <v>0</v>
      </c>
      <c r="AC255" s="602">
        <f>SUMIFS(Rainfall[Duration],Rainfall[DAY],Actual!AC$252,Rainfall[PIT],Actual!$C$255,Rainfall[REMARK],"RAIN")</f>
        <v>0</v>
      </c>
      <c r="AD255" s="602">
        <f>SUMIFS(Rainfall[Duration],Rainfall[DAY],Actual!AD$252,Rainfall[PIT],Actual!$C$255,Rainfall[REMARK],"RAIN")</f>
        <v>0</v>
      </c>
      <c r="AE255" s="602">
        <f>SUMIFS(Rainfall[Duration],Rainfall[DAY],Actual!AE$252,Rainfall[PIT],Actual!$C$255,Rainfall[REMARK],"RAIN")</f>
        <v>0</v>
      </c>
      <c r="AF255" s="602">
        <f>SUMIFS(Rainfall[Duration],Rainfall[DAY],Actual!AF$252,Rainfall[PIT],Actual!$C$255,Rainfall[REMARK],"RAIN")</f>
        <v>0</v>
      </c>
      <c r="AG255" s="602">
        <f>SUMIFS(Rainfall[Duration],Rainfall[DAY],Actual!AG$252,Rainfall[PIT],Actual!$C$255,Rainfall[REMARK],"RAIN")</f>
        <v>0</v>
      </c>
      <c r="AH255" s="602">
        <f>SUMIFS(Rainfall[Duration],Rainfall[DAY],Actual!AH$252,Rainfall[PIT],Actual!$C$255,Rainfall[REMARK],"RAIN")</f>
        <v>0</v>
      </c>
      <c r="AI255" s="602">
        <f>SUMIFS(Rainfall[Duration],Rainfall[DAY],Actual!AI$252,Rainfall[PIT],Actual!$C$255,Rainfall[REMARK],"RAIN")</f>
        <v>0</v>
      </c>
      <c r="AJ255" s="639">
        <f>SUM(E255:AI255)</f>
        <v>0</v>
      </c>
      <c r="AK255" s="642"/>
      <c r="AL255" s="230"/>
    </row>
    <row r="256" spans="1:38" ht="15" customHeight="1">
      <c r="B256" s="219"/>
      <c r="C256" s="1010" t="s">
        <v>189</v>
      </c>
      <c r="D256" s="1011"/>
      <c r="E256" s="604">
        <f>MAX(E254:E255)</f>
        <v>0</v>
      </c>
      <c r="F256" s="604">
        <f t="shared" ref="F256:AI256" si="103">MAX(F254:F255)</f>
        <v>0</v>
      </c>
      <c r="G256" s="604">
        <f t="shared" si="103"/>
        <v>0</v>
      </c>
      <c r="H256" s="604">
        <f t="shared" si="103"/>
        <v>0</v>
      </c>
      <c r="I256" s="604">
        <f t="shared" si="103"/>
        <v>0</v>
      </c>
      <c r="J256" s="604">
        <f t="shared" si="103"/>
        <v>0</v>
      </c>
      <c r="K256" s="604">
        <f t="shared" si="103"/>
        <v>0</v>
      </c>
      <c r="L256" s="604">
        <f t="shared" si="103"/>
        <v>0</v>
      </c>
      <c r="M256" s="604">
        <f t="shared" si="103"/>
        <v>0</v>
      </c>
      <c r="N256" s="604">
        <f t="shared" si="103"/>
        <v>0</v>
      </c>
      <c r="O256" s="604">
        <f t="shared" si="103"/>
        <v>0</v>
      </c>
      <c r="P256" s="604">
        <f t="shared" si="103"/>
        <v>0</v>
      </c>
      <c r="Q256" s="604">
        <f t="shared" si="103"/>
        <v>0</v>
      </c>
      <c r="R256" s="604">
        <f t="shared" si="103"/>
        <v>0</v>
      </c>
      <c r="S256" s="604">
        <f t="shared" si="103"/>
        <v>0</v>
      </c>
      <c r="T256" s="604">
        <f t="shared" si="103"/>
        <v>0</v>
      </c>
      <c r="U256" s="604">
        <f t="shared" si="103"/>
        <v>0</v>
      </c>
      <c r="V256" s="604">
        <f t="shared" si="103"/>
        <v>0</v>
      </c>
      <c r="W256" s="604">
        <f t="shared" si="103"/>
        <v>0</v>
      </c>
      <c r="X256" s="604">
        <f t="shared" si="103"/>
        <v>0</v>
      </c>
      <c r="Y256" s="604">
        <f t="shared" si="103"/>
        <v>0</v>
      </c>
      <c r="Z256" s="604">
        <f t="shared" si="103"/>
        <v>0</v>
      </c>
      <c r="AA256" s="604">
        <f t="shared" si="103"/>
        <v>0</v>
      </c>
      <c r="AB256" s="604">
        <f t="shared" si="103"/>
        <v>0</v>
      </c>
      <c r="AC256" s="604">
        <f t="shared" si="103"/>
        <v>0</v>
      </c>
      <c r="AD256" s="604">
        <f t="shared" si="103"/>
        <v>0</v>
      </c>
      <c r="AE256" s="604">
        <f t="shared" si="103"/>
        <v>0</v>
      </c>
      <c r="AF256" s="604">
        <f t="shared" si="103"/>
        <v>0</v>
      </c>
      <c r="AG256" s="604">
        <f t="shared" si="103"/>
        <v>0</v>
      </c>
      <c r="AH256" s="604">
        <f t="shared" si="103"/>
        <v>0</v>
      </c>
      <c r="AI256" s="604">
        <f t="shared" si="103"/>
        <v>0</v>
      </c>
      <c r="AJ256" s="640">
        <f>SUM(E256:AI256)</f>
        <v>0</v>
      </c>
      <c r="AK256" s="533">
        <f>SUM(F256:P256)</f>
        <v>0</v>
      </c>
      <c r="AL256" s="230"/>
    </row>
    <row r="257" spans="3:38">
      <c r="E257" s="219"/>
      <c r="F257" s="219"/>
      <c r="G257" s="219"/>
      <c r="L257" s="219"/>
      <c r="R257" s="219"/>
      <c r="Y257" s="219"/>
      <c r="AA257" s="219"/>
      <c r="AB257" s="682"/>
      <c r="AE257" s="219"/>
      <c r="AG257" s="219"/>
      <c r="AJ257" s="614">
        <f>HLOOKUP(LEFT(Summary!D3,2),Actual!E252:AI256,5,FALSE)</f>
        <v>0</v>
      </c>
      <c r="AK257" s="533">
        <f>SUM(E256:AI256)</f>
        <v>0</v>
      </c>
      <c r="AL257" s="533"/>
    </row>
    <row r="258" spans="3:38" ht="17.399999999999999">
      <c r="C258" s="388" t="str">
        <f>"6.Slippery time Actual "&amp;MID(C2,13,20)</f>
        <v>6.Slippery time Actual Sep'26</v>
      </c>
      <c r="D258" s="388"/>
      <c r="Y258" s="219"/>
      <c r="AK258" s="230"/>
      <c r="AL258" s="230"/>
    </row>
    <row r="259" spans="3:38">
      <c r="C259" s="1004" t="s">
        <v>185</v>
      </c>
      <c r="D259" s="1005"/>
      <c r="E259" s="883" t="s">
        <v>61</v>
      </c>
      <c r="F259" s="883" t="s">
        <v>62</v>
      </c>
      <c r="G259" s="883" t="s">
        <v>63</v>
      </c>
      <c r="H259" s="883" t="s">
        <v>64</v>
      </c>
      <c r="I259" s="883" t="s">
        <v>65</v>
      </c>
      <c r="J259" s="883" t="s">
        <v>66</v>
      </c>
      <c r="K259" s="883" t="s">
        <v>67</v>
      </c>
      <c r="L259" s="883" t="s">
        <v>68</v>
      </c>
      <c r="M259" s="883" t="s">
        <v>69</v>
      </c>
      <c r="N259" s="883" t="s">
        <v>70</v>
      </c>
      <c r="O259" s="883" t="s">
        <v>71</v>
      </c>
      <c r="P259" s="883" t="s">
        <v>72</v>
      </c>
      <c r="Q259" s="883" t="s">
        <v>73</v>
      </c>
      <c r="R259" s="883" t="s">
        <v>74</v>
      </c>
      <c r="S259" s="883" t="s">
        <v>75</v>
      </c>
      <c r="T259" s="883" t="s">
        <v>76</v>
      </c>
      <c r="U259" s="883" t="s">
        <v>77</v>
      </c>
      <c r="V259" s="883" t="s">
        <v>78</v>
      </c>
      <c r="W259" s="883" t="s">
        <v>79</v>
      </c>
      <c r="X259" s="883" t="s">
        <v>80</v>
      </c>
      <c r="Y259" s="883" t="s">
        <v>81</v>
      </c>
      <c r="Z259" s="883" t="s">
        <v>82</v>
      </c>
      <c r="AA259" s="883" t="s">
        <v>83</v>
      </c>
      <c r="AB259" s="883" t="s">
        <v>84</v>
      </c>
      <c r="AC259" s="883" t="s">
        <v>85</v>
      </c>
      <c r="AD259" s="883" t="s">
        <v>86</v>
      </c>
      <c r="AE259" s="883" t="s">
        <v>87</v>
      </c>
      <c r="AF259" s="883" t="s">
        <v>88</v>
      </c>
      <c r="AG259" s="883" t="s">
        <v>89</v>
      </c>
      <c r="AH259" s="883" t="s">
        <v>90</v>
      </c>
      <c r="AI259" s="883" t="s">
        <v>91</v>
      </c>
      <c r="AJ259" s="359" t="s">
        <v>186</v>
      </c>
      <c r="AK259" s="230"/>
      <c r="AL259" s="230"/>
    </row>
    <row r="260" spans="3:38" hidden="1">
      <c r="C260" s="598" t="s">
        <v>187</v>
      </c>
      <c r="D260" s="598"/>
      <c r="E260" s="601">
        <v>0</v>
      </c>
      <c r="F260" s="601">
        <v>0</v>
      </c>
      <c r="G260" s="601">
        <v>0</v>
      </c>
      <c r="H260" s="601">
        <v>0</v>
      </c>
      <c r="I260" s="601">
        <v>0</v>
      </c>
      <c r="J260" s="601">
        <v>0</v>
      </c>
      <c r="K260" s="601">
        <v>0</v>
      </c>
      <c r="L260" s="601">
        <v>0</v>
      </c>
      <c r="M260" s="601">
        <v>0</v>
      </c>
      <c r="N260" s="601">
        <v>0</v>
      </c>
      <c r="O260" s="601">
        <v>0</v>
      </c>
      <c r="P260" s="601">
        <v>0</v>
      </c>
      <c r="Q260" s="601">
        <v>0</v>
      </c>
      <c r="R260" s="601">
        <v>0</v>
      </c>
      <c r="S260" s="601">
        <v>0</v>
      </c>
      <c r="T260" s="601">
        <v>0</v>
      </c>
      <c r="U260" s="601">
        <v>0</v>
      </c>
      <c r="V260" s="601">
        <v>0</v>
      </c>
      <c r="W260" s="601">
        <v>0</v>
      </c>
      <c r="X260" s="601">
        <v>0</v>
      </c>
      <c r="Y260" s="601">
        <v>0</v>
      </c>
      <c r="Z260" s="601">
        <v>0</v>
      </c>
      <c r="AA260" s="601">
        <v>0</v>
      </c>
      <c r="AB260" s="601">
        <v>0</v>
      </c>
      <c r="AC260" s="601">
        <v>0</v>
      </c>
      <c r="AD260" s="601">
        <v>0</v>
      </c>
      <c r="AE260" s="601">
        <v>0</v>
      </c>
      <c r="AF260" s="601">
        <v>0</v>
      </c>
      <c r="AG260" s="601">
        <v>0</v>
      </c>
      <c r="AH260" s="601">
        <v>0</v>
      </c>
      <c r="AI260" s="601">
        <v>0</v>
      </c>
      <c r="AJ260" s="684">
        <f>SUM(E260:AI260)</f>
        <v>0</v>
      </c>
      <c r="AK260" s="230"/>
      <c r="AL260" s="230"/>
    </row>
    <row r="261" spans="3:38" hidden="1">
      <c r="C261" s="1006" t="s">
        <v>122</v>
      </c>
      <c r="D261" s="1007"/>
      <c r="E261" s="602">
        <v>0</v>
      </c>
      <c r="F261" s="602">
        <v>0</v>
      </c>
      <c r="G261" s="602">
        <v>0</v>
      </c>
      <c r="H261" s="602">
        <v>0</v>
      </c>
      <c r="I261" s="602">
        <v>0</v>
      </c>
      <c r="J261" s="602">
        <v>0</v>
      </c>
      <c r="K261" s="602">
        <v>0</v>
      </c>
      <c r="L261" s="602">
        <v>0</v>
      </c>
      <c r="M261" s="602">
        <v>0</v>
      </c>
      <c r="N261" s="602">
        <v>0</v>
      </c>
      <c r="O261" s="602">
        <v>0</v>
      </c>
      <c r="P261" s="602">
        <v>0</v>
      </c>
      <c r="Q261" s="602">
        <v>0</v>
      </c>
      <c r="R261" s="602">
        <v>0</v>
      </c>
      <c r="S261" s="602">
        <v>0</v>
      </c>
      <c r="T261" s="602">
        <v>0</v>
      </c>
      <c r="U261" s="602">
        <v>0</v>
      </c>
      <c r="V261" s="602">
        <v>0</v>
      </c>
      <c r="W261" s="602">
        <v>0</v>
      </c>
      <c r="X261" s="602">
        <v>0</v>
      </c>
      <c r="Y261" s="602">
        <v>0</v>
      </c>
      <c r="Z261" s="602">
        <v>0</v>
      </c>
      <c r="AA261" s="602">
        <v>0</v>
      </c>
      <c r="AB261" s="602">
        <v>0</v>
      </c>
      <c r="AC261" s="602">
        <v>0</v>
      </c>
      <c r="AD261" s="602">
        <v>0</v>
      </c>
      <c r="AE261" s="602">
        <v>0</v>
      </c>
      <c r="AF261" s="602">
        <v>0</v>
      </c>
      <c r="AG261" s="602">
        <v>0</v>
      </c>
      <c r="AH261" s="602">
        <v>0</v>
      </c>
      <c r="AI261" s="602">
        <v>0</v>
      </c>
      <c r="AJ261" s="685">
        <f>SUM(E261:AI261)</f>
        <v>0</v>
      </c>
      <c r="AK261" s="230"/>
      <c r="AL261" s="230"/>
    </row>
    <row r="262" spans="3:38">
      <c r="C262" s="1008" t="s">
        <v>111</v>
      </c>
      <c r="D262" s="1009"/>
      <c r="E262" s="602">
        <f>SUMIFS(Rainfall[Duration],Rainfall[DAY],Actual!E$252,Rainfall[PIT],Actual!$C$255,Rainfall[REMARK],"SLIP")</f>
        <v>0</v>
      </c>
      <c r="F262" s="602">
        <f>SUMIFS(Rainfall[Duration],Rainfall[DAY],Actual!F$252,Rainfall[PIT],Actual!$C$255,Rainfall[REMARK],"SLIP")</f>
        <v>0</v>
      </c>
      <c r="G262" s="602">
        <f>SUMIFS(Rainfall[Duration],Rainfall[DAY],Actual!G$252,Rainfall[PIT],Actual!$C$255,Rainfall[REMARK],"SLIP")</f>
        <v>0</v>
      </c>
      <c r="H262" s="602">
        <f>SUMIFS(Rainfall[Duration],Rainfall[DAY],Actual!H$252,Rainfall[PIT],Actual!$C$255,Rainfall[REMARK],"SLIP")</f>
        <v>0</v>
      </c>
      <c r="I262" s="602">
        <f>SUMIFS(Rainfall[Duration],Rainfall[DAY],Actual!I$252,Rainfall[PIT],Actual!$C$255,Rainfall[REMARK],"SLIP")</f>
        <v>0</v>
      </c>
      <c r="J262" s="602">
        <f>SUMIFS(Rainfall[Duration],Rainfall[DAY],Actual!J$252,Rainfall[PIT],Actual!$C$255,Rainfall[REMARK],"SLIP")</f>
        <v>0</v>
      </c>
      <c r="K262" s="602">
        <f>SUMIFS(Rainfall[Duration],Rainfall[DAY],Actual!K$252,Rainfall[PIT],Actual!$C$255,Rainfall[REMARK],"SLIP")</f>
        <v>0</v>
      </c>
      <c r="L262" s="602">
        <f>SUMIFS(Rainfall[Duration],Rainfall[DAY],Actual!L$252,Rainfall[PIT],Actual!$C$255,Rainfall[REMARK],"SLIP")</f>
        <v>0</v>
      </c>
      <c r="M262" s="602">
        <f>SUMIFS(Rainfall[Duration],Rainfall[DAY],Actual!M$252,Rainfall[PIT],Actual!$C$255,Rainfall[REMARK],"SLIP")</f>
        <v>0</v>
      </c>
      <c r="N262" s="602">
        <f>SUMIFS(Rainfall[Duration],Rainfall[DAY],Actual!N$252,Rainfall[PIT],Actual!$C$255,Rainfall[REMARK],"SLIP")</f>
        <v>0</v>
      </c>
      <c r="O262" s="602">
        <f>SUMIFS(Rainfall[Duration],Rainfall[DAY],Actual!O$252,Rainfall[PIT],Actual!$C$255,Rainfall[REMARK],"SLIP")</f>
        <v>0</v>
      </c>
      <c r="P262" s="602">
        <f>SUMIFS(Rainfall[Duration],Rainfall[DAY],Actual!P$252,Rainfall[PIT],Actual!$C$255,Rainfall[REMARK],"SLIP")</f>
        <v>0</v>
      </c>
      <c r="Q262" s="602">
        <f>SUMIFS(Rainfall[Duration],Rainfall[DAY],Actual!Q$252,Rainfall[PIT],Actual!$C$255,Rainfall[REMARK],"SLIP")</f>
        <v>0</v>
      </c>
      <c r="R262" s="602">
        <f>SUMIFS(Rainfall[Duration],Rainfall[DAY],Actual!R$252,Rainfall[PIT],Actual!$C$255,Rainfall[REMARK],"SLIP")</f>
        <v>0</v>
      </c>
      <c r="S262" s="602">
        <f>SUMIFS(Rainfall[Duration],Rainfall[DAY],Actual!S$252,Rainfall[PIT],Actual!$C$255,Rainfall[REMARK],"SLIP")</f>
        <v>0</v>
      </c>
      <c r="T262" s="602">
        <f>SUMIFS(Rainfall[Duration],Rainfall[DAY],Actual!T$252,Rainfall[PIT],Actual!$C$255,Rainfall[REMARK],"SLIP")</f>
        <v>0</v>
      </c>
      <c r="U262" s="602">
        <f>SUMIFS(Rainfall[Duration],Rainfall[DAY],Actual!U$252,Rainfall[PIT],Actual!$C$255,Rainfall[REMARK],"SLIP")</f>
        <v>0</v>
      </c>
      <c r="V262" s="602">
        <f>SUMIFS(Rainfall[Duration],Rainfall[DAY],Actual!V$252,Rainfall[PIT],Actual!$C$255,Rainfall[REMARK],"SLIP")</f>
        <v>0</v>
      </c>
      <c r="W262" s="602">
        <f>SUMIFS(Rainfall[Duration],Rainfall[DAY],Actual!W$252,Rainfall[PIT],Actual!$C$255,Rainfall[REMARK],"SLIP")</f>
        <v>0</v>
      </c>
      <c r="X262" s="602">
        <f>SUMIFS(Rainfall[Duration],Rainfall[DAY],Actual!X$252,Rainfall[PIT],Actual!$C$255,Rainfall[REMARK],"SLIP")</f>
        <v>0</v>
      </c>
      <c r="Y262" s="602">
        <f>SUMIFS(Rainfall[Duration],Rainfall[DAY],Actual!Y$252,Rainfall[PIT],Actual!$C$255,Rainfall[REMARK],"SLIP")</f>
        <v>0</v>
      </c>
      <c r="Z262" s="602">
        <f>SUMIFS(Rainfall[Duration],Rainfall[DAY],Actual!Z$252,Rainfall[PIT],Actual!$C$255,Rainfall[REMARK],"SLIP")</f>
        <v>0</v>
      </c>
      <c r="AA262" s="602">
        <f>SUMIFS(Rainfall[Duration],Rainfall[DAY],Actual!AA$252,Rainfall[PIT],Actual!$C$255,Rainfall[REMARK],"SLIP")</f>
        <v>0</v>
      </c>
      <c r="AB262" s="602">
        <f>SUMIFS(Rainfall[Duration],Rainfall[DAY],Actual!AB$252,Rainfall[PIT],Actual!$C$255,Rainfall[REMARK],"SLIP")</f>
        <v>0</v>
      </c>
      <c r="AC262" s="602">
        <f>SUMIFS(Rainfall[Duration],Rainfall[DAY],Actual!AC$252,Rainfall[PIT],Actual!$C$255,Rainfall[REMARK],"SLIP")</f>
        <v>0</v>
      </c>
      <c r="AD262" s="602">
        <f>SUMIFS(Rainfall[Duration],Rainfall[DAY],Actual!AD$252,Rainfall[PIT],Actual!$C$255,Rainfall[REMARK],"SLIP")</f>
        <v>0</v>
      </c>
      <c r="AE262" s="602">
        <f>SUMIFS(Rainfall[Duration],Rainfall[DAY],Actual!AE$252,Rainfall[PIT],Actual!$C$255,Rainfall[REMARK],"SLIP")</f>
        <v>0</v>
      </c>
      <c r="AF262" s="602">
        <f>SUMIFS(Rainfall[Duration],Rainfall[DAY],Actual!AF$252,Rainfall[PIT],Actual!$C$255,Rainfall[REMARK],"SLIP")</f>
        <v>0</v>
      </c>
      <c r="AG262" s="602">
        <f>SUMIFS(Rainfall[Duration],Rainfall[DAY],Actual!AG$252,Rainfall[PIT],Actual!$C$255,Rainfall[REMARK],"SLIP")</f>
        <v>0</v>
      </c>
      <c r="AH262" s="602">
        <f>SUMIFS(Rainfall[Duration],Rainfall[DAY],Actual!AH$252,Rainfall[PIT],Actual!$C$255,Rainfall[REMARK],"SLIP")</f>
        <v>0</v>
      </c>
      <c r="AI262" s="602">
        <f>SUMIFS(Rainfall[Duration],Rainfall[DAY],Actual!AI$252,Rainfall[PIT],Actual!$C$255,Rainfall[REMARK],"SLIP")</f>
        <v>0</v>
      </c>
      <c r="AJ262" s="686">
        <f>SUM(E262:AI262)</f>
        <v>0</v>
      </c>
      <c r="AK262" s="230"/>
      <c r="AL262" s="230"/>
    </row>
    <row r="263" spans="3:38">
      <c r="C263" s="1010" t="s">
        <v>190</v>
      </c>
      <c r="D263" s="1011"/>
      <c r="E263" s="643">
        <f>MAX(E261:E262)</f>
        <v>0</v>
      </c>
      <c r="F263" s="643">
        <f>MAX(F261:F262)</f>
        <v>0</v>
      </c>
      <c r="G263" s="643">
        <f t="shared" ref="G263:AI263" si="104">MAX(G261:G262)</f>
        <v>0</v>
      </c>
      <c r="H263" s="643">
        <f t="shared" si="104"/>
        <v>0</v>
      </c>
      <c r="I263" s="643">
        <f t="shared" si="104"/>
        <v>0</v>
      </c>
      <c r="J263" s="643">
        <f t="shared" si="104"/>
        <v>0</v>
      </c>
      <c r="K263" s="643">
        <f t="shared" si="104"/>
        <v>0</v>
      </c>
      <c r="L263" s="643">
        <f t="shared" si="104"/>
        <v>0</v>
      </c>
      <c r="M263" s="643">
        <f t="shared" si="104"/>
        <v>0</v>
      </c>
      <c r="N263" s="643">
        <f t="shared" si="104"/>
        <v>0</v>
      </c>
      <c r="O263" s="643">
        <f t="shared" si="104"/>
        <v>0</v>
      </c>
      <c r="P263" s="643">
        <f t="shared" si="104"/>
        <v>0</v>
      </c>
      <c r="Q263" s="643">
        <f t="shared" si="104"/>
        <v>0</v>
      </c>
      <c r="R263" s="643">
        <f t="shared" si="104"/>
        <v>0</v>
      </c>
      <c r="S263" s="643">
        <f t="shared" si="104"/>
        <v>0</v>
      </c>
      <c r="T263" s="643">
        <f t="shared" si="104"/>
        <v>0</v>
      </c>
      <c r="U263" s="643">
        <f t="shared" si="104"/>
        <v>0</v>
      </c>
      <c r="V263" s="643">
        <f t="shared" si="104"/>
        <v>0</v>
      </c>
      <c r="W263" s="643">
        <f t="shared" si="104"/>
        <v>0</v>
      </c>
      <c r="X263" s="643">
        <f t="shared" si="104"/>
        <v>0</v>
      </c>
      <c r="Y263" s="643">
        <f t="shared" si="104"/>
        <v>0</v>
      </c>
      <c r="Z263" s="643">
        <f t="shared" si="104"/>
        <v>0</v>
      </c>
      <c r="AA263" s="643">
        <f t="shared" si="104"/>
        <v>0</v>
      </c>
      <c r="AB263" s="643">
        <f t="shared" si="104"/>
        <v>0</v>
      </c>
      <c r="AC263" s="643">
        <f t="shared" si="104"/>
        <v>0</v>
      </c>
      <c r="AD263" s="643">
        <f t="shared" si="104"/>
        <v>0</v>
      </c>
      <c r="AE263" s="643">
        <f t="shared" si="104"/>
        <v>0</v>
      </c>
      <c r="AF263" s="643">
        <f t="shared" si="104"/>
        <v>0</v>
      </c>
      <c r="AG263" s="643">
        <f t="shared" si="104"/>
        <v>0</v>
      </c>
      <c r="AH263" s="643">
        <f t="shared" si="104"/>
        <v>0</v>
      </c>
      <c r="AI263" s="643">
        <f t="shared" si="104"/>
        <v>0</v>
      </c>
      <c r="AJ263" s="640">
        <f>SUM(E263:AI263)</f>
        <v>0</v>
      </c>
      <c r="AK263" s="230"/>
      <c r="AL263" s="230"/>
    </row>
    <row r="264" spans="3:38">
      <c r="X264" s="219"/>
      <c r="AJ264" s="533">
        <f>HLOOKUP(LEFT(Summary!D3,2),Actual!E259:AI263,5,FALSE)</f>
        <v>0</v>
      </c>
      <c r="AK264" s="533">
        <f>SUM(E263:AI263)</f>
        <v>0</v>
      </c>
      <c r="AL264" s="230"/>
    </row>
    <row r="265" spans="3:38" ht="17.399999999999999">
      <c r="C265" s="388" t="str">
        <f>"7.Loss time Actual "&amp;MID(C2,13,20)</f>
        <v>7.Loss time Actual Sep'26</v>
      </c>
      <c r="D265" s="388"/>
      <c r="Y265" s="219"/>
      <c r="AK265" s="230"/>
      <c r="AL265" s="230"/>
    </row>
    <row r="266" spans="3:38">
      <c r="C266" s="1004" t="s">
        <v>185</v>
      </c>
      <c r="D266" s="1005"/>
      <c r="E266" s="883" t="s">
        <v>61</v>
      </c>
      <c r="F266" s="883" t="s">
        <v>62</v>
      </c>
      <c r="G266" s="883" t="s">
        <v>63</v>
      </c>
      <c r="H266" s="883" t="s">
        <v>64</v>
      </c>
      <c r="I266" s="883" t="s">
        <v>65</v>
      </c>
      <c r="J266" s="883" t="s">
        <v>66</v>
      </c>
      <c r="K266" s="883" t="s">
        <v>67</v>
      </c>
      <c r="L266" s="883" t="s">
        <v>68</v>
      </c>
      <c r="M266" s="883" t="s">
        <v>69</v>
      </c>
      <c r="N266" s="883" t="s">
        <v>70</v>
      </c>
      <c r="O266" s="883" t="s">
        <v>71</v>
      </c>
      <c r="P266" s="883" t="s">
        <v>72</v>
      </c>
      <c r="Q266" s="883" t="s">
        <v>73</v>
      </c>
      <c r="R266" s="883" t="s">
        <v>74</v>
      </c>
      <c r="S266" s="883" t="s">
        <v>75</v>
      </c>
      <c r="T266" s="883" t="s">
        <v>76</v>
      </c>
      <c r="U266" s="883" t="s">
        <v>77</v>
      </c>
      <c r="V266" s="883" t="s">
        <v>78</v>
      </c>
      <c r="W266" s="883" t="s">
        <v>79</v>
      </c>
      <c r="X266" s="883" t="s">
        <v>80</v>
      </c>
      <c r="Y266" s="883" t="s">
        <v>81</v>
      </c>
      <c r="Z266" s="883" t="s">
        <v>82</v>
      </c>
      <c r="AA266" s="883" t="s">
        <v>83</v>
      </c>
      <c r="AB266" s="883" t="s">
        <v>84</v>
      </c>
      <c r="AC266" s="883" t="s">
        <v>85</v>
      </c>
      <c r="AD266" s="883" t="s">
        <v>86</v>
      </c>
      <c r="AE266" s="883" t="s">
        <v>87</v>
      </c>
      <c r="AF266" s="883" t="s">
        <v>88</v>
      </c>
      <c r="AG266" s="883" t="s">
        <v>89</v>
      </c>
      <c r="AH266" s="883" t="s">
        <v>90</v>
      </c>
      <c r="AI266" s="883" t="s">
        <v>91</v>
      </c>
      <c r="AJ266" s="359" t="s">
        <v>186</v>
      </c>
      <c r="AK266" s="230"/>
      <c r="AL266" s="230"/>
    </row>
    <row r="267" spans="3:38">
      <c r="C267" s="1055" t="s">
        <v>191</v>
      </c>
      <c r="D267" s="1009"/>
      <c r="E267" s="602">
        <f>E254+E261</f>
        <v>0</v>
      </c>
      <c r="F267" s="602">
        <f t="shared" ref="F267:AI267" si="105">F254+F261</f>
        <v>0</v>
      </c>
      <c r="G267" s="602">
        <f t="shared" si="105"/>
        <v>0</v>
      </c>
      <c r="H267" s="602">
        <f t="shared" si="105"/>
        <v>0</v>
      </c>
      <c r="I267" s="602">
        <f t="shared" si="105"/>
        <v>0</v>
      </c>
      <c r="J267" s="602">
        <f t="shared" si="105"/>
        <v>0</v>
      </c>
      <c r="K267" s="602">
        <f t="shared" si="105"/>
        <v>0</v>
      </c>
      <c r="L267" s="602">
        <f t="shared" si="105"/>
        <v>0</v>
      </c>
      <c r="M267" s="602">
        <f t="shared" si="105"/>
        <v>0</v>
      </c>
      <c r="N267" s="602">
        <f t="shared" si="105"/>
        <v>0</v>
      </c>
      <c r="O267" s="602">
        <f t="shared" si="105"/>
        <v>0</v>
      </c>
      <c r="P267" s="602">
        <f t="shared" si="105"/>
        <v>0</v>
      </c>
      <c r="Q267" s="602">
        <f t="shared" si="105"/>
        <v>0</v>
      </c>
      <c r="R267" s="602">
        <f t="shared" si="105"/>
        <v>0</v>
      </c>
      <c r="S267" s="602">
        <f t="shared" si="105"/>
        <v>0</v>
      </c>
      <c r="T267" s="602">
        <f t="shared" si="105"/>
        <v>0</v>
      </c>
      <c r="U267" s="602">
        <f t="shared" si="105"/>
        <v>0</v>
      </c>
      <c r="V267" s="602">
        <f t="shared" si="105"/>
        <v>0</v>
      </c>
      <c r="W267" s="602">
        <f t="shared" si="105"/>
        <v>0</v>
      </c>
      <c r="X267" s="602">
        <f t="shared" si="105"/>
        <v>0</v>
      </c>
      <c r="Y267" s="602">
        <f t="shared" si="105"/>
        <v>0</v>
      </c>
      <c r="Z267" s="602">
        <f t="shared" si="105"/>
        <v>0</v>
      </c>
      <c r="AA267" s="602">
        <f t="shared" si="105"/>
        <v>0</v>
      </c>
      <c r="AB267" s="602">
        <f t="shared" si="105"/>
        <v>0</v>
      </c>
      <c r="AC267" s="602">
        <f t="shared" si="105"/>
        <v>0</v>
      </c>
      <c r="AD267" s="602">
        <f t="shared" si="105"/>
        <v>0</v>
      </c>
      <c r="AE267" s="602">
        <f t="shared" si="105"/>
        <v>0</v>
      </c>
      <c r="AF267" s="602">
        <f t="shared" si="105"/>
        <v>0</v>
      </c>
      <c r="AG267" s="602">
        <f t="shared" si="105"/>
        <v>0</v>
      </c>
      <c r="AH267" s="602">
        <f t="shared" si="105"/>
        <v>0</v>
      </c>
      <c r="AI267" s="602">
        <f t="shared" si="105"/>
        <v>0</v>
      </c>
      <c r="AJ267" s="685">
        <f>SUM(E267:AI267)</f>
        <v>0</v>
      </c>
      <c r="AK267" s="230"/>
      <c r="AL267" s="230"/>
    </row>
    <row r="268" spans="3:38">
      <c r="C268" s="1008" t="s">
        <v>111</v>
      </c>
      <c r="D268" s="1009"/>
      <c r="E268" s="602">
        <f>E255+E262</f>
        <v>0</v>
      </c>
      <c r="F268" s="602">
        <f>F255+F262</f>
        <v>0</v>
      </c>
      <c r="G268" s="602">
        <f t="shared" ref="G268:O268" si="106">G255+G262</f>
        <v>0</v>
      </c>
      <c r="H268" s="602">
        <f t="shared" si="106"/>
        <v>0</v>
      </c>
      <c r="I268" s="602">
        <f t="shared" si="106"/>
        <v>0</v>
      </c>
      <c r="J268" s="602">
        <f t="shared" si="106"/>
        <v>0</v>
      </c>
      <c r="K268" s="602">
        <f t="shared" si="106"/>
        <v>0</v>
      </c>
      <c r="L268" s="602">
        <f t="shared" si="106"/>
        <v>0</v>
      </c>
      <c r="M268" s="602">
        <f t="shared" si="106"/>
        <v>0</v>
      </c>
      <c r="N268" s="602">
        <f t="shared" si="106"/>
        <v>0</v>
      </c>
      <c r="O268" s="602">
        <f t="shared" si="106"/>
        <v>0</v>
      </c>
      <c r="P268" s="602">
        <f t="shared" ref="P268:AI268" si="107">P255+P262</f>
        <v>0</v>
      </c>
      <c r="Q268" s="602">
        <f t="shared" si="107"/>
        <v>0</v>
      </c>
      <c r="R268" s="602">
        <f t="shared" si="107"/>
        <v>0</v>
      </c>
      <c r="S268" s="602">
        <f t="shared" si="107"/>
        <v>0</v>
      </c>
      <c r="T268" s="602">
        <f t="shared" si="107"/>
        <v>0</v>
      </c>
      <c r="U268" s="602">
        <f t="shared" si="107"/>
        <v>0</v>
      </c>
      <c r="V268" s="602">
        <f t="shared" si="107"/>
        <v>0</v>
      </c>
      <c r="W268" s="602">
        <f t="shared" si="107"/>
        <v>0</v>
      </c>
      <c r="X268" s="602">
        <f t="shared" si="107"/>
        <v>0</v>
      </c>
      <c r="Y268" s="602">
        <f t="shared" si="107"/>
        <v>0</v>
      </c>
      <c r="Z268" s="602">
        <f t="shared" si="107"/>
        <v>0</v>
      </c>
      <c r="AA268" s="602">
        <f t="shared" si="107"/>
        <v>0</v>
      </c>
      <c r="AB268" s="602">
        <f t="shared" si="107"/>
        <v>0</v>
      </c>
      <c r="AC268" s="602">
        <f t="shared" si="107"/>
        <v>0</v>
      </c>
      <c r="AD268" s="602">
        <f t="shared" si="107"/>
        <v>0</v>
      </c>
      <c r="AE268" s="602">
        <f t="shared" si="107"/>
        <v>0</v>
      </c>
      <c r="AF268" s="602">
        <f t="shared" si="107"/>
        <v>0</v>
      </c>
      <c r="AG268" s="602">
        <f t="shared" si="107"/>
        <v>0</v>
      </c>
      <c r="AH268" s="602">
        <f t="shared" si="107"/>
        <v>0</v>
      </c>
      <c r="AI268" s="602">
        <f t="shared" si="107"/>
        <v>0</v>
      </c>
      <c r="AJ268" s="686">
        <f>SUM(E268:AI268)</f>
        <v>0</v>
      </c>
      <c r="AK268" s="230"/>
      <c r="AL268" s="230"/>
    </row>
    <row r="269" spans="3:38">
      <c r="C269" s="1010" t="s">
        <v>192</v>
      </c>
      <c r="D269" s="1011"/>
      <c r="E269" s="643">
        <f>MAX(E267:E268)</f>
        <v>0</v>
      </c>
      <c r="F269" s="643">
        <f t="shared" ref="F269:AI269" si="108">MAX(F267:F268)</f>
        <v>0</v>
      </c>
      <c r="G269" s="643">
        <f t="shared" si="108"/>
        <v>0</v>
      </c>
      <c r="H269" s="643">
        <f t="shared" si="108"/>
        <v>0</v>
      </c>
      <c r="I269" s="643">
        <f t="shared" si="108"/>
        <v>0</v>
      </c>
      <c r="J269" s="643">
        <f t="shared" si="108"/>
        <v>0</v>
      </c>
      <c r="K269" s="643">
        <f t="shared" si="108"/>
        <v>0</v>
      </c>
      <c r="L269" s="643">
        <f t="shared" si="108"/>
        <v>0</v>
      </c>
      <c r="M269" s="643">
        <f t="shared" si="108"/>
        <v>0</v>
      </c>
      <c r="N269" s="643">
        <f t="shared" si="108"/>
        <v>0</v>
      </c>
      <c r="O269" s="643">
        <f t="shared" si="108"/>
        <v>0</v>
      </c>
      <c r="P269" s="643">
        <f t="shared" si="108"/>
        <v>0</v>
      </c>
      <c r="Q269" s="643">
        <f t="shared" si="108"/>
        <v>0</v>
      </c>
      <c r="R269" s="643">
        <f t="shared" si="108"/>
        <v>0</v>
      </c>
      <c r="S269" s="643">
        <f t="shared" si="108"/>
        <v>0</v>
      </c>
      <c r="T269" s="643">
        <f t="shared" si="108"/>
        <v>0</v>
      </c>
      <c r="U269" s="643">
        <f t="shared" si="108"/>
        <v>0</v>
      </c>
      <c r="V269" s="643">
        <f t="shared" si="108"/>
        <v>0</v>
      </c>
      <c r="W269" s="643">
        <f t="shared" si="108"/>
        <v>0</v>
      </c>
      <c r="X269" s="643">
        <f t="shared" si="108"/>
        <v>0</v>
      </c>
      <c r="Y269" s="643">
        <f t="shared" si="108"/>
        <v>0</v>
      </c>
      <c r="Z269" s="643">
        <f t="shared" si="108"/>
        <v>0</v>
      </c>
      <c r="AA269" s="643">
        <f t="shared" si="108"/>
        <v>0</v>
      </c>
      <c r="AB269" s="643">
        <f t="shared" si="108"/>
        <v>0</v>
      </c>
      <c r="AC269" s="643">
        <f t="shared" si="108"/>
        <v>0</v>
      </c>
      <c r="AD269" s="643">
        <f t="shared" si="108"/>
        <v>0</v>
      </c>
      <c r="AE269" s="643">
        <f t="shared" si="108"/>
        <v>0</v>
      </c>
      <c r="AF269" s="643">
        <f t="shared" si="108"/>
        <v>0</v>
      </c>
      <c r="AG269" s="643">
        <f t="shared" si="108"/>
        <v>0</v>
      </c>
      <c r="AH269" s="643">
        <f t="shared" si="108"/>
        <v>0</v>
      </c>
      <c r="AI269" s="643">
        <f t="shared" si="108"/>
        <v>0</v>
      </c>
      <c r="AJ269" s="640">
        <f>SUM(E269:AI269)</f>
        <v>0</v>
      </c>
      <c r="AK269" s="230"/>
      <c r="AL269" s="230"/>
    </row>
    <row r="270" spans="3:38">
      <c r="X270" s="219"/>
      <c r="AJ270" s="533"/>
      <c r="AK270" s="533"/>
      <c r="AL270" s="230"/>
    </row>
    <row r="271" spans="3:38">
      <c r="X271" s="219"/>
      <c r="AH271" s="221"/>
      <c r="AJ271" s="533"/>
      <c r="AK271" s="533"/>
      <c r="AL271" s="230"/>
    </row>
    <row r="272" spans="3:38" ht="17.399999999999999">
      <c r="C272" s="644" t="str">
        <f>"8. Barge Loading Actual "&amp;MID(C2,13,20)</f>
        <v>8. Barge Loading Actual Sep'26</v>
      </c>
      <c r="D272" s="644"/>
      <c r="J272" s="219"/>
      <c r="K272" s="219"/>
      <c r="X272" s="219"/>
      <c r="AA272" s="219"/>
      <c r="AE272" s="683"/>
      <c r="AK272" s="219"/>
    </row>
    <row r="273" spans="2:38">
      <c r="F273" s="533">
        <v>11261.05</v>
      </c>
      <c r="X273" s="235"/>
      <c r="Y273" s="219"/>
      <c r="AK273" s="219"/>
    </row>
    <row r="274" spans="2:38">
      <c r="C274" s="973" t="s">
        <v>193</v>
      </c>
      <c r="D274" s="974"/>
      <c r="E274" s="887" t="s">
        <v>61</v>
      </c>
      <c r="F274" s="887" t="s">
        <v>62</v>
      </c>
      <c r="G274" s="887" t="s">
        <v>63</v>
      </c>
      <c r="H274" s="887" t="s">
        <v>64</v>
      </c>
      <c r="I274" s="887" t="s">
        <v>65</v>
      </c>
      <c r="J274" s="887" t="s">
        <v>66</v>
      </c>
      <c r="K274" s="887" t="s">
        <v>67</v>
      </c>
      <c r="L274" s="887" t="s">
        <v>68</v>
      </c>
      <c r="M274" s="887" t="s">
        <v>69</v>
      </c>
      <c r="N274" s="887" t="s">
        <v>70</v>
      </c>
      <c r="O274" s="887" t="s">
        <v>71</v>
      </c>
      <c r="P274" s="887" t="s">
        <v>72</v>
      </c>
      <c r="Q274" s="887" t="s">
        <v>73</v>
      </c>
      <c r="R274" s="887" t="s">
        <v>74</v>
      </c>
      <c r="S274" s="887" t="s">
        <v>75</v>
      </c>
      <c r="T274" s="887" t="s">
        <v>76</v>
      </c>
      <c r="U274" s="887" t="s">
        <v>77</v>
      </c>
      <c r="V274" s="887" t="s">
        <v>78</v>
      </c>
      <c r="W274" s="887" t="s">
        <v>79</v>
      </c>
      <c r="X274" s="887" t="s">
        <v>80</v>
      </c>
      <c r="Y274" s="887" t="s">
        <v>81</v>
      </c>
      <c r="Z274" s="887" t="s">
        <v>82</v>
      </c>
      <c r="AA274" s="887" t="s">
        <v>83</v>
      </c>
      <c r="AB274" s="887" t="s">
        <v>84</v>
      </c>
      <c r="AC274" s="887" t="s">
        <v>85</v>
      </c>
      <c r="AD274" s="887" t="s">
        <v>86</v>
      </c>
      <c r="AE274" s="887" t="s">
        <v>87</v>
      </c>
      <c r="AF274" s="887" t="s">
        <v>88</v>
      </c>
      <c r="AG274" s="887" t="s">
        <v>89</v>
      </c>
      <c r="AH274" s="887" t="s">
        <v>90</v>
      </c>
      <c r="AI274" s="887" t="s">
        <v>91</v>
      </c>
      <c r="AJ274" s="687" t="s">
        <v>194</v>
      </c>
      <c r="AK274" s="219"/>
      <c r="AL274" s="219"/>
    </row>
    <row r="275" spans="2:38" hidden="1">
      <c r="C275" s="645" t="s">
        <v>195</v>
      </c>
      <c r="D275" s="645"/>
      <c r="E275" s="646">
        <v>0</v>
      </c>
      <c r="F275" s="646">
        <v>0</v>
      </c>
      <c r="G275" s="646">
        <v>0</v>
      </c>
      <c r="H275" s="646">
        <v>0</v>
      </c>
      <c r="I275" s="646">
        <v>0</v>
      </c>
      <c r="J275" s="646">
        <v>0</v>
      </c>
      <c r="K275" s="646">
        <v>0</v>
      </c>
      <c r="L275" s="646">
        <v>0</v>
      </c>
      <c r="M275" s="646">
        <v>0</v>
      </c>
      <c r="N275" s="646">
        <v>0</v>
      </c>
      <c r="O275" s="646">
        <v>0</v>
      </c>
      <c r="P275" s="646">
        <v>0</v>
      </c>
      <c r="Q275" s="646">
        <v>0</v>
      </c>
      <c r="R275" s="646">
        <v>0</v>
      </c>
      <c r="S275" s="646">
        <v>0</v>
      </c>
      <c r="T275" s="646">
        <v>0</v>
      </c>
      <c r="U275" s="646">
        <v>0</v>
      </c>
      <c r="V275" s="646">
        <v>0</v>
      </c>
      <c r="W275" s="646">
        <v>0</v>
      </c>
      <c r="X275" s="646">
        <v>0</v>
      </c>
      <c r="Y275" s="646">
        <v>0</v>
      </c>
      <c r="Z275" s="646">
        <v>0</v>
      </c>
      <c r="AA275" s="646">
        <v>0</v>
      </c>
      <c r="AB275" s="646">
        <v>0</v>
      </c>
      <c r="AC275" s="646">
        <v>0</v>
      </c>
      <c r="AD275" s="646">
        <v>0</v>
      </c>
      <c r="AE275" s="646">
        <v>0</v>
      </c>
      <c r="AF275" s="646">
        <v>0</v>
      </c>
      <c r="AG275" s="646">
        <v>0</v>
      </c>
      <c r="AH275" s="646">
        <v>0</v>
      </c>
      <c r="AI275" s="646">
        <v>0</v>
      </c>
      <c r="AJ275" s="688">
        <f t="shared" ref="AJ275:AJ283" si="109">SUM(E275:AI275)</f>
        <v>0</v>
      </c>
      <c r="AK275" s="219"/>
      <c r="AL275" s="219"/>
    </row>
    <row r="276" spans="2:38">
      <c r="C276" s="967" t="s">
        <v>196</v>
      </c>
      <c r="D276" s="968"/>
      <c r="E276" s="646">
        <v>0</v>
      </c>
      <c r="F276" s="646">
        <v>0</v>
      </c>
      <c r="G276" s="646">
        <v>0</v>
      </c>
      <c r="H276" s="646">
        <v>0</v>
      </c>
      <c r="I276" s="646">
        <v>0</v>
      </c>
      <c r="J276" s="646">
        <v>0</v>
      </c>
      <c r="K276" s="646">
        <v>0</v>
      </c>
      <c r="L276" s="646"/>
      <c r="M276" s="646">
        <v>0</v>
      </c>
      <c r="N276" s="646">
        <v>0</v>
      </c>
      <c r="O276" s="646">
        <v>0</v>
      </c>
      <c r="P276" s="646">
        <v>0</v>
      </c>
      <c r="Q276" s="646">
        <v>0</v>
      </c>
      <c r="R276" s="646">
        <v>0</v>
      </c>
      <c r="S276" s="646">
        <v>0</v>
      </c>
      <c r="T276" s="646">
        <v>0</v>
      </c>
      <c r="U276" s="646">
        <v>0</v>
      </c>
      <c r="V276" s="646">
        <v>0</v>
      </c>
      <c r="W276" s="646">
        <v>0</v>
      </c>
      <c r="X276" s="646">
        <v>0</v>
      </c>
      <c r="Y276" s="646">
        <v>0</v>
      </c>
      <c r="Z276" s="646">
        <v>0</v>
      </c>
      <c r="AA276" s="646">
        <v>0</v>
      </c>
      <c r="AB276" s="646">
        <v>0</v>
      </c>
      <c r="AC276" s="646">
        <v>0</v>
      </c>
      <c r="AD276" s="646">
        <v>0</v>
      </c>
      <c r="AE276" s="646">
        <v>0</v>
      </c>
      <c r="AF276" s="646">
        <v>0</v>
      </c>
      <c r="AG276" s="646">
        <v>0</v>
      </c>
      <c r="AH276" s="646">
        <v>0</v>
      </c>
      <c r="AI276" s="646">
        <v>0</v>
      </c>
      <c r="AJ276" s="688">
        <f t="shared" si="109"/>
        <v>0</v>
      </c>
      <c r="AK276" s="219"/>
      <c r="AL276" s="219"/>
    </row>
    <row r="277" spans="2:38">
      <c r="B277" s="221"/>
      <c r="C277" s="967" t="s">
        <v>197</v>
      </c>
      <c r="D277" s="968"/>
      <c r="E277" s="646">
        <v>0</v>
      </c>
      <c r="F277" s="646">
        <v>0</v>
      </c>
      <c r="G277" s="646">
        <v>0</v>
      </c>
      <c r="H277" s="646">
        <v>0</v>
      </c>
      <c r="I277" s="646">
        <v>0</v>
      </c>
      <c r="J277" s="646">
        <v>0</v>
      </c>
      <c r="K277" s="646">
        <v>0</v>
      </c>
      <c r="L277" s="646">
        <v>0</v>
      </c>
      <c r="M277" s="646">
        <v>0</v>
      </c>
      <c r="N277" s="646">
        <v>0</v>
      </c>
      <c r="O277" s="646">
        <v>0</v>
      </c>
      <c r="P277" s="646">
        <v>0</v>
      </c>
      <c r="Q277" s="646">
        <v>0</v>
      </c>
      <c r="R277" s="646">
        <v>0</v>
      </c>
      <c r="S277" s="646">
        <v>0</v>
      </c>
      <c r="T277" s="646">
        <v>0</v>
      </c>
      <c r="U277" s="646">
        <v>0</v>
      </c>
      <c r="V277" s="646">
        <v>0</v>
      </c>
      <c r="W277" s="646">
        <v>0</v>
      </c>
      <c r="X277" s="646">
        <v>0</v>
      </c>
      <c r="Y277" s="646">
        <v>0</v>
      </c>
      <c r="Z277" s="646">
        <v>0</v>
      </c>
      <c r="AA277" s="646">
        <v>0</v>
      </c>
      <c r="AB277" s="646">
        <v>0</v>
      </c>
      <c r="AC277" s="646">
        <v>0</v>
      </c>
      <c r="AD277" s="646">
        <v>0</v>
      </c>
      <c r="AE277" s="646">
        <v>0</v>
      </c>
      <c r="AF277" s="646">
        <v>0</v>
      </c>
      <c r="AG277" s="646">
        <v>0</v>
      </c>
      <c r="AH277" s="646">
        <v>0</v>
      </c>
      <c r="AI277" s="646">
        <v>0</v>
      </c>
      <c r="AJ277" s="688">
        <f t="shared" si="109"/>
        <v>0</v>
      </c>
      <c r="AK277" s="219"/>
      <c r="AL277" s="219"/>
    </row>
    <row r="278" spans="2:38">
      <c r="B278" s="221"/>
      <c r="C278" s="969" t="s">
        <v>198</v>
      </c>
      <c r="D278" s="970"/>
      <c r="E278" s="646">
        <v>0</v>
      </c>
      <c r="F278" s="646">
        <v>0</v>
      </c>
      <c r="G278" s="646">
        <v>0</v>
      </c>
      <c r="H278" s="646">
        <v>0</v>
      </c>
      <c r="I278" s="646">
        <v>0</v>
      </c>
      <c r="J278" s="646">
        <v>0</v>
      </c>
      <c r="K278" s="646">
        <v>0</v>
      </c>
      <c r="L278" s="646">
        <v>0</v>
      </c>
      <c r="M278" s="646">
        <v>0</v>
      </c>
      <c r="N278" s="646">
        <v>0</v>
      </c>
      <c r="O278" s="646">
        <v>0</v>
      </c>
      <c r="P278" s="646">
        <v>0</v>
      </c>
      <c r="Q278" s="646">
        <v>0</v>
      </c>
      <c r="R278" s="646">
        <v>0</v>
      </c>
      <c r="S278" s="646">
        <v>0</v>
      </c>
      <c r="T278" s="646">
        <v>0</v>
      </c>
      <c r="U278" s="646">
        <v>0</v>
      </c>
      <c r="V278" s="646">
        <v>0</v>
      </c>
      <c r="W278" s="646">
        <v>0</v>
      </c>
      <c r="X278" s="646">
        <v>0</v>
      </c>
      <c r="Y278" s="646">
        <v>0</v>
      </c>
      <c r="Z278" s="646">
        <v>0</v>
      </c>
      <c r="AA278" s="646">
        <v>0</v>
      </c>
      <c r="AB278" s="646">
        <v>0</v>
      </c>
      <c r="AC278" s="646">
        <v>0</v>
      </c>
      <c r="AD278" s="646">
        <v>0</v>
      </c>
      <c r="AE278" s="646">
        <v>0</v>
      </c>
      <c r="AF278" s="646">
        <v>0</v>
      </c>
      <c r="AG278" s="646">
        <v>0</v>
      </c>
      <c r="AH278" s="646">
        <v>0</v>
      </c>
      <c r="AI278" s="646">
        <v>0</v>
      </c>
      <c r="AJ278" s="688">
        <f t="shared" si="109"/>
        <v>0</v>
      </c>
      <c r="AK278" s="219"/>
      <c r="AL278" s="219"/>
    </row>
    <row r="279" spans="2:38">
      <c r="C279" s="967" t="s">
        <v>199</v>
      </c>
      <c r="D279" s="968"/>
      <c r="E279" s="646">
        <v>0</v>
      </c>
      <c r="F279" s="646"/>
      <c r="G279" s="646">
        <v>0</v>
      </c>
      <c r="H279" s="646">
        <v>0</v>
      </c>
      <c r="I279" s="646">
        <v>0</v>
      </c>
      <c r="J279" s="646">
        <v>0</v>
      </c>
      <c r="K279" s="646">
        <v>0</v>
      </c>
      <c r="L279" s="646">
        <v>0</v>
      </c>
      <c r="M279" s="646">
        <v>0</v>
      </c>
      <c r="N279" s="646">
        <v>0</v>
      </c>
      <c r="O279" s="646">
        <v>0</v>
      </c>
      <c r="P279" s="646">
        <v>0</v>
      </c>
      <c r="Q279" s="646">
        <v>0</v>
      </c>
      <c r="R279" s="646">
        <v>0</v>
      </c>
      <c r="S279" s="646">
        <v>0</v>
      </c>
      <c r="T279" s="646">
        <v>0</v>
      </c>
      <c r="U279" s="646"/>
      <c r="V279" s="646">
        <v>0</v>
      </c>
      <c r="W279" s="646">
        <v>0</v>
      </c>
      <c r="X279" s="646">
        <v>0</v>
      </c>
      <c r="Y279" s="646">
        <v>0</v>
      </c>
      <c r="Z279" s="646">
        <v>0</v>
      </c>
      <c r="AA279" s="646">
        <v>0</v>
      </c>
      <c r="AB279" s="646">
        <v>0</v>
      </c>
      <c r="AC279" s="646">
        <v>0</v>
      </c>
      <c r="AD279" s="646">
        <v>0</v>
      </c>
      <c r="AE279" s="646">
        <v>0</v>
      </c>
      <c r="AF279" s="646">
        <v>0</v>
      </c>
      <c r="AG279" s="646">
        <v>0</v>
      </c>
      <c r="AH279" s="646">
        <v>0</v>
      </c>
      <c r="AI279" s="646">
        <v>0</v>
      </c>
      <c r="AJ279" s="688">
        <f t="shared" si="109"/>
        <v>0</v>
      </c>
      <c r="AK279" s="219"/>
      <c r="AL279" s="689"/>
    </row>
    <row r="280" spans="2:38">
      <c r="C280" s="967" t="s">
        <v>200</v>
      </c>
      <c r="D280" s="968"/>
      <c r="E280" s="646"/>
      <c r="F280" s="646"/>
      <c r="G280" s="646"/>
      <c r="H280" s="646"/>
      <c r="I280" s="646"/>
      <c r="J280" s="646"/>
      <c r="K280" s="646"/>
      <c r="L280" s="646"/>
      <c r="M280" s="646"/>
      <c r="N280" s="646"/>
      <c r="O280" s="646"/>
      <c r="P280" s="646"/>
      <c r="Q280" s="646"/>
      <c r="R280" s="646"/>
      <c r="S280" s="646"/>
      <c r="T280" s="646"/>
      <c r="U280" s="646"/>
      <c r="V280" s="646">
        <v>0</v>
      </c>
      <c r="W280" s="646">
        <v>0</v>
      </c>
      <c r="X280" s="646">
        <v>0</v>
      </c>
      <c r="Y280" s="646">
        <v>0</v>
      </c>
      <c r="Z280" s="646">
        <v>0</v>
      </c>
      <c r="AA280" s="646">
        <v>0</v>
      </c>
      <c r="AB280" s="646">
        <v>0</v>
      </c>
      <c r="AC280" s="646">
        <v>0</v>
      </c>
      <c r="AD280" s="646">
        <v>0</v>
      </c>
      <c r="AE280" s="646"/>
      <c r="AF280" s="646">
        <v>0</v>
      </c>
      <c r="AG280" s="646">
        <v>0</v>
      </c>
      <c r="AH280" s="646">
        <v>0</v>
      </c>
      <c r="AI280" s="283"/>
      <c r="AJ280" s="688">
        <f t="shared" si="109"/>
        <v>0</v>
      </c>
      <c r="AK280" s="606"/>
      <c r="AL280" s="689"/>
    </row>
    <row r="281" spans="2:38">
      <c r="C281" s="967" t="s">
        <v>201</v>
      </c>
      <c r="D281" s="968"/>
      <c r="E281" s="646">
        <v>0</v>
      </c>
      <c r="F281" s="646">
        <v>0</v>
      </c>
      <c r="G281" s="646">
        <v>0</v>
      </c>
      <c r="H281" s="646">
        <v>0</v>
      </c>
      <c r="I281" s="646">
        <v>0</v>
      </c>
      <c r="J281" s="646">
        <v>0</v>
      </c>
      <c r="K281" s="646">
        <v>0</v>
      </c>
      <c r="L281" s="646">
        <v>0</v>
      </c>
      <c r="M281" s="646">
        <v>0</v>
      </c>
      <c r="N281" s="646">
        <v>0</v>
      </c>
      <c r="O281" s="646">
        <v>0</v>
      </c>
      <c r="P281" s="646">
        <v>0</v>
      </c>
      <c r="Q281" s="646">
        <v>0</v>
      </c>
      <c r="R281" s="646">
        <v>0</v>
      </c>
      <c r="S281" s="646">
        <v>0</v>
      </c>
      <c r="T281" s="646">
        <v>0</v>
      </c>
      <c r="U281" s="646">
        <v>0</v>
      </c>
      <c r="V281" s="646">
        <v>0</v>
      </c>
      <c r="W281" s="646">
        <v>0</v>
      </c>
      <c r="X281" s="646">
        <v>0</v>
      </c>
      <c r="Y281" s="646">
        <v>0</v>
      </c>
      <c r="Z281" s="646">
        <v>0</v>
      </c>
      <c r="AA281" s="646">
        <v>0</v>
      </c>
      <c r="AB281" s="646">
        <v>0</v>
      </c>
      <c r="AC281" s="646">
        <v>0</v>
      </c>
      <c r="AD281" s="646">
        <v>0</v>
      </c>
      <c r="AE281" s="646">
        <v>0</v>
      </c>
      <c r="AF281" s="646">
        <v>0</v>
      </c>
      <c r="AG281" s="646">
        <v>0</v>
      </c>
      <c r="AH281" s="646">
        <v>0</v>
      </c>
      <c r="AI281" s="646">
        <v>0</v>
      </c>
      <c r="AJ281" s="688">
        <f t="shared" si="109"/>
        <v>0</v>
      </c>
      <c r="AK281" s="689"/>
      <c r="AL281" s="689"/>
    </row>
    <row r="282" spans="2:38">
      <c r="C282" s="971" t="s">
        <v>202</v>
      </c>
      <c r="D282" s="972"/>
      <c r="E282" s="646">
        <v>0</v>
      </c>
      <c r="F282" s="646">
        <v>0</v>
      </c>
      <c r="G282" s="646">
        <v>0</v>
      </c>
      <c r="H282" s="646">
        <v>0</v>
      </c>
      <c r="I282" s="646">
        <v>0</v>
      </c>
      <c r="J282" s="646">
        <v>0</v>
      </c>
      <c r="K282" s="646">
        <v>0</v>
      </c>
      <c r="L282" s="646">
        <v>0</v>
      </c>
      <c r="M282" s="646">
        <v>0</v>
      </c>
      <c r="N282" s="646">
        <v>0</v>
      </c>
      <c r="O282" s="646">
        <v>0</v>
      </c>
      <c r="P282" s="646">
        <v>0</v>
      </c>
      <c r="Q282" s="646">
        <v>0</v>
      </c>
      <c r="R282" s="646">
        <v>0</v>
      </c>
      <c r="S282" s="646">
        <v>0</v>
      </c>
      <c r="T282" s="646">
        <v>0</v>
      </c>
      <c r="U282" s="646">
        <v>0</v>
      </c>
      <c r="V282" s="646">
        <v>0</v>
      </c>
      <c r="W282" s="646">
        <v>0</v>
      </c>
      <c r="X282" s="646">
        <v>0</v>
      </c>
      <c r="Y282" s="646">
        <v>0</v>
      </c>
      <c r="Z282" s="646">
        <v>0</v>
      </c>
      <c r="AA282" s="646">
        <v>0</v>
      </c>
      <c r="AB282" s="646">
        <v>0</v>
      </c>
      <c r="AC282" s="646">
        <v>0</v>
      </c>
      <c r="AD282" s="646">
        <v>0</v>
      </c>
      <c r="AE282" s="646">
        <v>0</v>
      </c>
      <c r="AF282" s="646">
        <v>0</v>
      </c>
      <c r="AG282" s="646">
        <v>0</v>
      </c>
      <c r="AH282" s="646">
        <v>0</v>
      </c>
      <c r="AI282" s="646">
        <v>0</v>
      </c>
      <c r="AJ282" s="688">
        <f t="shared" si="109"/>
        <v>0</v>
      </c>
      <c r="AK282" s="533">
        <f>AJ283-161347.03</f>
        <v>-161347.03</v>
      </c>
    </row>
    <row r="283" spans="2:38">
      <c r="B283" s="219"/>
      <c r="C283" s="973" t="s">
        <v>114</v>
      </c>
      <c r="D283" s="974"/>
      <c r="E283" s="647">
        <f>SUM(E275:E282)</f>
        <v>0</v>
      </c>
      <c r="F283" s="648">
        <f t="shared" ref="F283:AI283" si="110">SUM(F275:F282)</f>
        <v>0</v>
      </c>
      <c r="G283" s="647">
        <f t="shared" si="110"/>
        <v>0</v>
      </c>
      <c r="H283" s="647">
        <f t="shared" si="110"/>
        <v>0</v>
      </c>
      <c r="I283" s="647">
        <f t="shared" si="110"/>
        <v>0</v>
      </c>
      <c r="J283" s="647">
        <f t="shared" si="110"/>
        <v>0</v>
      </c>
      <c r="K283" s="647">
        <f t="shared" si="110"/>
        <v>0</v>
      </c>
      <c r="L283" s="647">
        <f t="shared" si="110"/>
        <v>0</v>
      </c>
      <c r="M283" s="647">
        <f t="shared" si="110"/>
        <v>0</v>
      </c>
      <c r="N283" s="647">
        <f t="shared" si="110"/>
        <v>0</v>
      </c>
      <c r="O283" s="647">
        <f t="shared" si="110"/>
        <v>0</v>
      </c>
      <c r="P283" s="647">
        <f t="shared" si="110"/>
        <v>0</v>
      </c>
      <c r="Q283" s="647">
        <f t="shared" si="110"/>
        <v>0</v>
      </c>
      <c r="R283" s="647">
        <f t="shared" si="110"/>
        <v>0</v>
      </c>
      <c r="S283" s="647">
        <f t="shared" si="110"/>
        <v>0</v>
      </c>
      <c r="T283" s="647">
        <f t="shared" si="110"/>
        <v>0</v>
      </c>
      <c r="U283" s="647">
        <f t="shared" si="110"/>
        <v>0</v>
      </c>
      <c r="V283" s="647">
        <f t="shared" si="110"/>
        <v>0</v>
      </c>
      <c r="W283" s="647">
        <f t="shared" si="110"/>
        <v>0</v>
      </c>
      <c r="X283" s="647">
        <f t="shared" si="110"/>
        <v>0</v>
      </c>
      <c r="Y283" s="647">
        <f t="shared" si="110"/>
        <v>0</v>
      </c>
      <c r="Z283" s="647">
        <f t="shared" si="110"/>
        <v>0</v>
      </c>
      <c r="AA283" s="647">
        <f t="shared" si="110"/>
        <v>0</v>
      </c>
      <c r="AB283" s="647">
        <f t="shared" si="110"/>
        <v>0</v>
      </c>
      <c r="AC283" s="647">
        <f t="shared" si="110"/>
        <v>0</v>
      </c>
      <c r="AD283" s="647">
        <f t="shared" si="110"/>
        <v>0</v>
      </c>
      <c r="AE283" s="647">
        <f t="shared" si="110"/>
        <v>0</v>
      </c>
      <c r="AF283" s="647">
        <f t="shared" si="110"/>
        <v>0</v>
      </c>
      <c r="AG283" s="647">
        <f t="shared" si="110"/>
        <v>0</v>
      </c>
      <c r="AH283" s="647">
        <f t="shared" si="110"/>
        <v>0</v>
      </c>
      <c r="AI283" s="647">
        <f t="shared" si="110"/>
        <v>0</v>
      </c>
      <c r="AJ283" s="688">
        <f t="shared" si="109"/>
        <v>0</v>
      </c>
      <c r="AK283" s="533"/>
      <c r="AL283" s="219"/>
    </row>
    <row r="284" spans="2:38">
      <c r="B284" s="219"/>
      <c r="C284" s="533" t="s">
        <v>203</v>
      </c>
      <c r="D284" s="533"/>
      <c r="E284" s="533">
        <v>11261.052</v>
      </c>
      <c r="F284" s="649"/>
      <c r="G284" s="649"/>
      <c r="H284" s="649"/>
      <c r="I284" s="649"/>
      <c r="J284" s="649"/>
      <c r="K284" s="649"/>
      <c r="L284" s="649"/>
      <c r="M284" s="649"/>
      <c r="N284" s="649"/>
      <c r="O284" s="649"/>
      <c r="P284" s="649"/>
      <c r="Q284" s="649"/>
      <c r="R284" s="649"/>
      <c r="S284" s="649"/>
      <c r="T284" s="649"/>
      <c r="U284" s="649"/>
      <c r="V284" s="649"/>
      <c r="W284" s="649"/>
      <c r="X284" s="649"/>
      <c r="Y284" s="649"/>
      <c r="Z284" s="649"/>
      <c r="AA284" s="649"/>
      <c r="AB284" s="649"/>
      <c r="AC284" s="649"/>
      <c r="AD284" s="649"/>
      <c r="AE284" s="649"/>
      <c r="AF284" s="649"/>
      <c r="AG284" s="649"/>
      <c r="AH284" s="690"/>
      <c r="AI284" s="649"/>
      <c r="AJ284" s="649"/>
      <c r="AK284" s="219"/>
    </row>
    <row r="285" spans="2:38" ht="17.399999999999999" hidden="1">
      <c r="B285" s="219"/>
      <c r="C285" s="650" t="str">
        <f>"8. Equipment  "&amp;MID(C2,13,20)</f>
        <v>8. Equipment  Sep'26</v>
      </c>
      <c r="D285" s="650"/>
      <c r="E285" s="649"/>
      <c r="F285" s="649"/>
      <c r="G285" s="649"/>
      <c r="H285" s="649"/>
      <c r="I285" s="649"/>
      <c r="J285" s="649"/>
      <c r="K285" s="649"/>
      <c r="L285" s="649"/>
      <c r="M285" s="649"/>
      <c r="N285" s="649"/>
      <c r="O285" s="649"/>
      <c r="P285" s="649"/>
      <c r="Q285" s="649"/>
      <c r="R285" s="649"/>
      <c r="S285" s="649"/>
      <c r="T285" s="649"/>
      <c r="U285" s="649"/>
      <c r="V285" s="649"/>
      <c r="W285" s="649"/>
      <c r="X285" s="649"/>
      <c r="Y285" s="649"/>
      <c r="Z285" s="649"/>
      <c r="AA285" s="649"/>
      <c r="AB285" s="649"/>
      <c r="AC285" s="649"/>
      <c r="AD285" s="649"/>
      <c r="AE285" s="649"/>
      <c r="AF285" s="649"/>
      <c r="AG285" s="649"/>
      <c r="AH285" s="649"/>
      <c r="AI285" s="649"/>
      <c r="AJ285" s="649"/>
      <c r="AK285" s="219"/>
    </row>
    <row r="286" spans="2:38" ht="17.399999999999999" hidden="1">
      <c r="B286" s="219"/>
      <c r="C286" s="650"/>
      <c r="D286" s="650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49"/>
      <c r="P286" s="649"/>
      <c r="Q286" s="649"/>
      <c r="R286" s="649"/>
      <c r="S286" s="649"/>
      <c r="T286" s="649"/>
      <c r="U286" s="649"/>
      <c r="V286" s="649"/>
      <c r="W286" s="649"/>
      <c r="X286" s="649"/>
      <c r="Y286" s="649"/>
      <c r="Z286" s="649"/>
      <c r="AA286" s="649"/>
      <c r="AB286" s="649"/>
      <c r="AC286" s="649"/>
      <c r="AD286" s="649"/>
      <c r="AE286" s="649"/>
      <c r="AF286" s="649"/>
      <c r="AG286" s="649"/>
      <c r="AH286" s="649"/>
      <c r="AI286" s="649"/>
      <c r="AJ286" s="649"/>
      <c r="AK286" s="219"/>
    </row>
    <row r="287" spans="2:38" hidden="1">
      <c r="B287" s="219"/>
      <c r="C287" s="1062" t="s">
        <v>204</v>
      </c>
      <c r="D287" s="1063"/>
      <c r="E287" s="1064"/>
      <c r="F287" s="651" t="s">
        <v>61</v>
      </c>
      <c r="G287" s="652" t="s">
        <v>62</v>
      </c>
      <c r="H287" s="652" t="s">
        <v>63</v>
      </c>
      <c r="I287" s="652" t="s">
        <v>64</v>
      </c>
      <c r="J287" s="652" t="s">
        <v>65</v>
      </c>
      <c r="K287" s="652" t="s">
        <v>66</v>
      </c>
      <c r="L287" s="652" t="s">
        <v>67</v>
      </c>
      <c r="M287" s="652" t="s">
        <v>68</v>
      </c>
      <c r="N287" s="652" t="s">
        <v>69</v>
      </c>
      <c r="O287" s="652" t="s">
        <v>70</v>
      </c>
      <c r="P287" s="652" t="s">
        <v>71</v>
      </c>
      <c r="Q287" s="652" t="s">
        <v>72</v>
      </c>
      <c r="R287" s="652" t="s">
        <v>73</v>
      </c>
      <c r="S287" s="652" t="s">
        <v>74</v>
      </c>
      <c r="T287" s="652" t="s">
        <v>75</v>
      </c>
      <c r="U287" s="652" t="s">
        <v>76</v>
      </c>
      <c r="V287" s="652" t="s">
        <v>77</v>
      </c>
      <c r="W287" s="652" t="s">
        <v>78</v>
      </c>
      <c r="X287" s="652" t="s">
        <v>79</v>
      </c>
      <c r="Y287" s="652" t="s">
        <v>80</v>
      </c>
      <c r="Z287" s="652" t="s">
        <v>81</v>
      </c>
      <c r="AA287" s="652" t="s">
        <v>82</v>
      </c>
      <c r="AB287" s="652" t="s">
        <v>83</v>
      </c>
      <c r="AC287" s="652" t="s">
        <v>84</v>
      </c>
      <c r="AD287" s="652" t="s">
        <v>85</v>
      </c>
      <c r="AE287" s="652" t="s">
        <v>86</v>
      </c>
      <c r="AF287" s="652" t="s">
        <v>87</v>
      </c>
      <c r="AG287" s="652" t="s">
        <v>88</v>
      </c>
      <c r="AH287" s="652" t="s">
        <v>89</v>
      </c>
      <c r="AI287" s="652" t="s">
        <v>90</v>
      </c>
      <c r="AJ287" s="652" t="s">
        <v>91</v>
      </c>
      <c r="AK287" s="691" t="s">
        <v>205</v>
      </c>
    </row>
    <row r="288" spans="2:38" ht="18" hidden="1" customHeight="1">
      <c r="B288" s="219"/>
      <c r="C288" s="1065" t="s">
        <v>206</v>
      </c>
      <c r="D288" s="653"/>
      <c r="E288" s="654" t="s">
        <v>207</v>
      </c>
      <c r="F288" s="655">
        <v>0</v>
      </c>
      <c r="G288" s="655">
        <v>0</v>
      </c>
      <c r="H288" s="655">
        <v>0</v>
      </c>
      <c r="I288" s="655">
        <v>0</v>
      </c>
      <c r="J288" s="655">
        <v>0</v>
      </c>
      <c r="K288" s="655">
        <v>0</v>
      </c>
      <c r="L288" s="655">
        <v>0</v>
      </c>
      <c r="M288" s="655">
        <v>0</v>
      </c>
      <c r="N288" s="655">
        <v>0</v>
      </c>
      <c r="O288" s="655">
        <v>0</v>
      </c>
      <c r="P288" s="655">
        <v>0</v>
      </c>
      <c r="Q288" s="655">
        <v>0</v>
      </c>
      <c r="R288" s="655">
        <v>0</v>
      </c>
      <c r="S288" s="655">
        <v>0</v>
      </c>
      <c r="T288" s="655">
        <v>0</v>
      </c>
      <c r="U288" s="655">
        <v>0</v>
      </c>
      <c r="V288" s="655">
        <v>0</v>
      </c>
      <c r="W288" s="655">
        <v>0</v>
      </c>
      <c r="X288" s="655">
        <v>0</v>
      </c>
      <c r="Y288" s="655">
        <v>0</v>
      </c>
      <c r="Z288" s="655">
        <v>0</v>
      </c>
      <c r="AA288" s="655">
        <v>0</v>
      </c>
      <c r="AB288" s="655">
        <v>0</v>
      </c>
      <c r="AC288" s="655">
        <v>0</v>
      </c>
      <c r="AD288" s="655">
        <v>0</v>
      </c>
      <c r="AE288" s="655">
        <v>0</v>
      </c>
      <c r="AF288" s="655">
        <v>0</v>
      </c>
      <c r="AG288" s="655">
        <v>0</v>
      </c>
      <c r="AH288" s="655">
        <v>0</v>
      </c>
      <c r="AI288" s="655">
        <v>0</v>
      </c>
      <c r="AJ288" s="692">
        <v>0</v>
      </c>
      <c r="AK288" s="693">
        <f>AVERAGE(F288:AJ288)</f>
        <v>0</v>
      </c>
    </row>
    <row r="289" spans="2:37" ht="18" hidden="1" customHeight="1">
      <c r="B289" s="219"/>
      <c r="C289" s="1066"/>
      <c r="D289" s="656"/>
      <c r="E289" s="657" t="s">
        <v>208</v>
      </c>
      <c r="F289" s="658">
        <v>0</v>
      </c>
      <c r="G289" s="659">
        <v>0</v>
      </c>
      <c r="H289" s="659">
        <v>0</v>
      </c>
      <c r="I289" s="659">
        <v>0</v>
      </c>
      <c r="J289" s="659">
        <v>0</v>
      </c>
      <c r="K289" s="659">
        <v>0</v>
      </c>
      <c r="L289" s="659">
        <v>0</v>
      </c>
      <c r="M289" s="659">
        <v>0</v>
      </c>
      <c r="N289" s="659">
        <v>0</v>
      </c>
      <c r="O289" s="659">
        <v>0</v>
      </c>
      <c r="P289" s="659">
        <v>0</v>
      </c>
      <c r="Q289" s="659">
        <v>0</v>
      </c>
      <c r="R289" s="659">
        <v>0</v>
      </c>
      <c r="S289" s="659">
        <v>0</v>
      </c>
      <c r="T289" s="659">
        <v>0</v>
      </c>
      <c r="U289" s="659">
        <v>0</v>
      </c>
      <c r="V289" s="659">
        <v>0</v>
      </c>
      <c r="W289" s="659">
        <v>0</v>
      </c>
      <c r="X289" s="659">
        <v>0</v>
      </c>
      <c r="Y289" s="659">
        <v>0</v>
      </c>
      <c r="Z289" s="659">
        <v>0</v>
      </c>
      <c r="AA289" s="659">
        <v>0</v>
      </c>
      <c r="AB289" s="659">
        <v>0</v>
      </c>
      <c r="AC289" s="659">
        <v>0</v>
      </c>
      <c r="AD289" s="659">
        <v>0</v>
      </c>
      <c r="AE289" s="659">
        <v>0</v>
      </c>
      <c r="AF289" s="659">
        <v>0</v>
      </c>
      <c r="AG289" s="659">
        <v>0</v>
      </c>
      <c r="AH289" s="659">
        <v>0</v>
      </c>
      <c r="AI289" s="659">
        <v>0</v>
      </c>
      <c r="AJ289" s="694">
        <v>0</v>
      </c>
      <c r="AK289" s="695">
        <f t="shared" ref="AK289:AK301" si="111">AVERAGE(F289:AJ289)</f>
        <v>0</v>
      </c>
    </row>
    <row r="290" spans="2:37" ht="18" hidden="1" customHeight="1">
      <c r="B290" s="219"/>
      <c r="C290" s="1066"/>
      <c r="D290" s="656"/>
      <c r="E290" s="657" t="s">
        <v>209</v>
      </c>
      <c r="F290" s="658">
        <v>0</v>
      </c>
      <c r="G290" s="659">
        <v>0</v>
      </c>
      <c r="H290" s="659">
        <v>0</v>
      </c>
      <c r="I290" s="659">
        <v>0</v>
      </c>
      <c r="J290" s="659">
        <v>0</v>
      </c>
      <c r="K290" s="659">
        <v>0</v>
      </c>
      <c r="L290" s="659">
        <v>0</v>
      </c>
      <c r="M290" s="659">
        <v>0</v>
      </c>
      <c r="N290" s="659">
        <v>0</v>
      </c>
      <c r="O290" s="659">
        <v>0</v>
      </c>
      <c r="P290" s="659">
        <v>0</v>
      </c>
      <c r="Q290" s="659">
        <v>0</v>
      </c>
      <c r="R290" s="659">
        <v>0</v>
      </c>
      <c r="S290" s="659">
        <v>0</v>
      </c>
      <c r="T290" s="659">
        <v>0</v>
      </c>
      <c r="U290" s="659">
        <v>0</v>
      </c>
      <c r="V290" s="659">
        <v>0</v>
      </c>
      <c r="W290" s="659">
        <v>0</v>
      </c>
      <c r="X290" s="659">
        <v>0</v>
      </c>
      <c r="Y290" s="659">
        <v>0</v>
      </c>
      <c r="Z290" s="659">
        <v>0</v>
      </c>
      <c r="AA290" s="659">
        <v>0</v>
      </c>
      <c r="AB290" s="659">
        <v>0</v>
      </c>
      <c r="AC290" s="659">
        <v>0</v>
      </c>
      <c r="AD290" s="659">
        <v>0</v>
      </c>
      <c r="AE290" s="659">
        <v>0</v>
      </c>
      <c r="AF290" s="659">
        <v>0</v>
      </c>
      <c r="AG290" s="659">
        <v>0</v>
      </c>
      <c r="AH290" s="659">
        <v>0</v>
      </c>
      <c r="AI290" s="659">
        <v>0</v>
      </c>
      <c r="AJ290" s="694">
        <v>0</v>
      </c>
      <c r="AK290" s="695">
        <f t="shared" si="111"/>
        <v>0</v>
      </c>
    </row>
    <row r="291" spans="2:37" ht="18" hidden="1" customHeight="1">
      <c r="B291" s="219"/>
      <c r="C291" s="1066"/>
      <c r="D291" s="656"/>
      <c r="E291" s="657" t="s">
        <v>210</v>
      </c>
      <c r="F291" s="658">
        <v>0</v>
      </c>
      <c r="G291" s="659">
        <v>0</v>
      </c>
      <c r="H291" s="659">
        <v>0</v>
      </c>
      <c r="I291" s="659">
        <v>0</v>
      </c>
      <c r="J291" s="659">
        <v>0</v>
      </c>
      <c r="K291" s="659">
        <v>0</v>
      </c>
      <c r="L291" s="659">
        <v>0</v>
      </c>
      <c r="M291" s="659">
        <v>0</v>
      </c>
      <c r="N291" s="659">
        <v>0</v>
      </c>
      <c r="O291" s="659">
        <v>0</v>
      </c>
      <c r="P291" s="659">
        <v>0</v>
      </c>
      <c r="Q291" s="659">
        <v>0</v>
      </c>
      <c r="R291" s="659">
        <v>0</v>
      </c>
      <c r="S291" s="659">
        <v>0</v>
      </c>
      <c r="T291" s="659">
        <v>0</v>
      </c>
      <c r="U291" s="659">
        <v>0</v>
      </c>
      <c r="V291" s="659">
        <v>0</v>
      </c>
      <c r="W291" s="659">
        <v>0</v>
      </c>
      <c r="X291" s="659">
        <v>0</v>
      </c>
      <c r="Y291" s="659">
        <v>0</v>
      </c>
      <c r="Z291" s="659">
        <v>0</v>
      </c>
      <c r="AA291" s="659">
        <v>0</v>
      </c>
      <c r="AB291" s="659">
        <v>0</v>
      </c>
      <c r="AC291" s="659">
        <v>0</v>
      </c>
      <c r="AD291" s="659">
        <v>0</v>
      </c>
      <c r="AE291" s="659">
        <v>0</v>
      </c>
      <c r="AF291" s="659">
        <v>0</v>
      </c>
      <c r="AG291" s="659">
        <v>0</v>
      </c>
      <c r="AH291" s="659">
        <v>0</v>
      </c>
      <c r="AI291" s="659">
        <v>0</v>
      </c>
      <c r="AJ291" s="694">
        <v>0</v>
      </c>
      <c r="AK291" s="695">
        <f t="shared" si="111"/>
        <v>0</v>
      </c>
    </row>
    <row r="292" spans="2:37" ht="18" hidden="1" customHeight="1">
      <c r="B292" s="219"/>
      <c r="C292" s="1066"/>
      <c r="D292" s="656"/>
      <c r="E292" s="657" t="s">
        <v>211</v>
      </c>
      <c r="F292" s="658">
        <v>0</v>
      </c>
      <c r="G292" s="659">
        <v>0</v>
      </c>
      <c r="H292" s="659">
        <v>0</v>
      </c>
      <c r="I292" s="659">
        <v>0</v>
      </c>
      <c r="J292" s="659">
        <v>0</v>
      </c>
      <c r="K292" s="659">
        <v>0</v>
      </c>
      <c r="L292" s="659">
        <v>0</v>
      </c>
      <c r="M292" s="659">
        <v>0</v>
      </c>
      <c r="N292" s="659">
        <v>0</v>
      </c>
      <c r="O292" s="659">
        <v>0</v>
      </c>
      <c r="P292" s="659">
        <v>0</v>
      </c>
      <c r="Q292" s="659">
        <v>0</v>
      </c>
      <c r="R292" s="659">
        <v>0</v>
      </c>
      <c r="S292" s="659">
        <v>0</v>
      </c>
      <c r="T292" s="659">
        <v>0</v>
      </c>
      <c r="U292" s="659">
        <v>0</v>
      </c>
      <c r="V292" s="659">
        <v>0</v>
      </c>
      <c r="W292" s="659">
        <v>0</v>
      </c>
      <c r="X292" s="659">
        <v>0</v>
      </c>
      <c r="Y292" s="659">
        <v>0</v>
      </c>
      <c r="Z292" s="659">
        <v>0</v>
      </c>
      <c r="AA292" s="659">
        <v>0</v>
      </c>
      <c r="AB292" s="659">
        <v>0</v>
      </c>
      <c r="AC292" s="659">
        <v>0</v>
      </c>
      <c r="AD292" s="659">
        <v>0</v>
      </c>
      <c r="AE292" s="659">
        <v>0</v>
      </c>
      <c r="AF292" s="659">
        <v>0</v>
      </c>
      <c r="AG292" s="659">
        <v>0</v>
      </c>
      <c r="AH292" s="659">
        <v>0</v>
      </c>
      <c r="AI292" s="659">
        <v>0</v>
      </c>
      <c r="AJ292" s="694">
        <v>0</v>
      </c>
      <c r="AK292" s="695">
        <f t="shared" si="111"/>
        <v>0</v>
      </c>
    </row>
    <row r="293" spans="2:37" ht="18" hidden="1" customHeight="1">
      <c r="B293" s="219"/>
      <c r="C293" s="1066"/>
      <c r="D293" s="656"/>
      <c r="E293" s="657" t="s">
        <v>212</v>
      </c>
      <c r="F293" s="658">
        <v>0</v>
      </c>
      <c r="G293" s="659">
        <v>0</v>
      </c>
      <c r="H293" s="659">
        <v>0</v>
      </c>
      <c r="I293" s="659">
        <v>0</v>
      </c>
      <c r="J293" s="659">
        <v>0</v>
      </c>
      <c r="K293" s="659">
        <v>0</v>
      </c>
      <c r="L293" s="659">
        <v>0</v>
      </c>
      <c r="M293" s="659">
        <v>0</v>
      </c>
      <c r="N293" s="659">
        <v>0</v>
      </c>
      <c r="O293" s="659">
        <v>0</v>
      </c>
      <c r="P293" s="659">
        <v>0</v>
      </c>
      <c r="Q293" s="659">
        <v>0</v>
      </c>
      <c r="R293" s="659">
        <v>0</v>
      </c>
      <c r="S293" s="659">
        <v>0</v>
      </c>
      <c r="T293" s="659">
        <v>0</v>
      </c>
      <c r="U293" s="659">
        <v>0</v>
      </c>
      <c r="V293" s="659">
        <v>0</v>
      </c>
      <c r="W293" s="659">
        <v>0</v>
      </c>
      <c r="X293" s="659">
        <v>0</v>
      </c>
      <c r="Y293" s="659">
        <v>0</v>
      </c>
      <c r="Z293" s="659">
        <v>0</v>
      </c>
      <c r="AA293" s="659">
        <v>0</v>
      </c>
      <c r="AB293" s="659">
        <v>0</v>
      </c>
      <c r="AC293" s="659">
        <v>0</v>
      </c>
      <c r="AD293" s="659">
        <v>0</v>
      </c>
      <c r="AE293" s="659">
        <v>0</v>
      </c>
      <c r="AF293" s="659">
        <v>0</v>
      </c>
      <c r="AG293" s="659">
        <v>0</v>
      </c>
      <c r="AH293" s="659">
        <v>0</v>
      </c>
      <c r="AI293" s="659">
        <v>0</v>
      </c>
      <c r="AJ293" s="694">
        <v>0</v>
      </c>
      <c r="AK293" s="695">
        <f t="shared" si="111"/>
        <v>0</v>
      </c>
    </row>
    <row r="294" spans="2:37" ht="15.75" hidden="1" customHeight="1">
      <c r="B294" s="219"/>
      <c r="C294" s="1066"/>
      <c r="D294" s="656"/>
      <c r="E294" s="660" t="s">
        <v>213</v>
      </c>
      <c r="F294" s="661">
        <v>0</v>
      </c>
      <c r="G294" s="662">
        <v>0</v>
      </c>
      <c r="H294" s="662">
        <v>0</v>
      </c>
      <c r="I294" s="662">
        <v>0</v>
      </c>
      <c r="J294" s="662">
        <v>0</v>
      </c>
      <c r="K294" s="662">
        <v>0</v>
      </c>
      <c r="L294" s="662">
        <v>0</v>
      </c>
      <c r="M294" s="662">
        <v>0</v>
      </c>
      <c r="N294" s="662">
        <v>0</v>
      </c>
      <c r="O294" s="662">
        <v>0</v>
      </c>
      <c r="P294" s="662">
        <v>0</v>
      </c>
      <c r="Q294" s="662">
        <v>0</v>
      </c>
      <c r="R294" s="662">
        <v>0</v>
      </c>
      <c r="S294" s="662">
        <v>0</v>
      </c>
      <c r="T294" s="662">
        <v>0</v>
      </c>
      <c r="U294" s="662">
        <v>0</v>
      </c>
      <c r="V294" s="662">
        <v>0</v>
      </c>
      <c r="W294" s="662">
        <v>0</v>
      </c>
      <c r="X294" s="662">
        <v>0</v>
      </c>
      <c r="Y294" s="662">
        <v>0</v>
      </c>
      <c r="Z294" s="662">
        <v>0</v>
      </c>
      <c r="AA294" s="662">
        <v>0</v>
      </c>
      <c r="AB294" s="662">
        <v>0</v>
      </c>
      <c r="AC294" s="662">
        <v>0</v>
      </c>
      <c r="AD294" s="662">
        <v>0</v>
      </c>
      <c r="AE294" s="662">
        <v>0</v>
      </c>
      <c r="AF294" s="662">
        <v>0</v>
      </c>
      <c r="AG294" s="662">
        <v>0</v>
      </c>
      <c r="AH294" s="662">
        <v>0</v>
      </c>
      <c r="AI294" s="662">
        <v>0</v>
      </c>
      <c r="AJ294" s="696">
        <v>0</v>
      </c>
      <c r="AK294" s="697">
        <f t="shared" si="111"/>
        <v>0</v>
      </c>
    </row>
    <row r="295" spans="2:37" ht="18" hidden="1" customHeight="1">
      <c r="B295" s="219"/>
      <c r="C295" s="1067" t="s">
        <v>214</v>
      </c>
      <c r="D295" s="663"/>
      <c r="E295" s="664" t="s">
        <v>207</v>
      </c>
      <c r="F295" s="665">
        <v>0</v>
      </c>
      <c r="G295" s="666">
        <v>0</v>
      </c>
      <c r="H295" s="666">
        <v>0</v>
      </c>
      <c r="I295" s="666">
        <v>0</v>
      </c>
      <c r="J295" s="666">
        <v>0</v>
      </c>
      <c r="K295" s="666">
        <v>0</v>
      </c>
      <c r="L295" s="666">
        <v>0</v>
      </c>
      <c r="M295" s="666">
        <v>0</v>
      </c>
      <c r="N295" s="666">
        <v>0</v>
      </c>
      <c r="O295" s="666">
        <v>0</v>
      </c>
      <c r="P295" s="666">
        <v>0</v>
      </c>
      <c r="Q295" s="666">
        <v>0</v>
      </c>
      <c r="R295" s="666">
        <v>0</v>
      </c>
      <c r="S295" s="666">
        <v>0</v>
      </c>
      <c r="T295" s="666">
        <v>0</v>
      </c>
      <c r="U295" s="666">
        <v>0</v>
      </c>
      <c r="V295" s="666">
        <v>0</v>
      </c>
      <c r="W295" s="666">
        <v>0</v>
      </c>
      <c r="X295" s="666">
        <v>0</v>
      </c>
      <c r="Y295" s="666">
        <v>0</v>
      </c>
      <c r="Z295" s="666">
        <v>0</v>
      </c>
      <c r="AA295" s="666">
        <v>0</v>
      </c>
      <c r="AB295" s="666">
        <v>0</v>
      </c>
      <c r="AC295" s="666">
        <v>0</v>
      </c>
      <c r="AD295" s="666">
        <v>0</v>
      </c>
      <c r="AE295" s="666">
        <v>0</v>
      </c>
      <c r="AF295" s="666">
        <v>0</v>
      </c>
      <c r="AG295" s="666">
        <v>0</v>
      </c>
      <c r="AH295" s="666">
        <v>0</v>
      </c>
      <c r="AI295" s="666">
        <v>0</v>
      </c>
      <c r="AJ295" s="698">
        <v>0</v>
      </c>
      <c r="AK295" s="699">
        <f t="shared" si="111"/>
        <v>0</v>
      </c>
    </row>
    <row r="296" spans="2:37" ht="18" hidden="1" customHeight="1">
      <c r="B296" s="219"/>
      <c r="C296" s="1068"/>
      <c r="D296" s="667"/>
      <c r="E296" s="668" t="s">
        <v>208</v>
      </c>
      <c r="F296" s="669">
        <v>0</v>
      </c>
      <c r="G296" s="670">
        <v>0</v>
      </c>
      <c r="H296" s="670">
        <v>0</v>
      </c>
      <c r="I296" s="670">
        <v>0</v>
      </c>
      <c r="J296" s="670">
        <v>0</v>
      </c>
      <c r="K296" s="670">
        <v>0</v>
      </c>
      <c r="L296" s="670">
        <v>0</v>
      </c>
      <c r="M296" s="670">
        <v>0</v>
      </c>
      <c r="N296" s="670">
        <v>0</v>
      </c>
      <c r="O296" s="670">
        <v>0</v>
      </c>
      <c r="P296" s="670">
        <v>0</v>
      </c>
      <c r="Q296" s="670">
        <v>0</v>
      </c>
      <c r="R296" s="670">
        <v>0</v>
      </c>
      <c r="S296" s="670">
        <v>0</v>
      </c>
      <c r="T296" s="670">
        <v>0</v>
      </c>
      <c r="U296" s="670">
        <v>0</v>
      </c>
      <c r="V296" s="670">
        <v>0</v>
      </c>
      <c r="W296" s="670">
        <v>0</v>
      </c>
      <c r="X296" s="670">
        <v>0</v>
      </c>
      <c r="Y296" s="670">
        <v>0</v>
      </c>
      <c r="Z296" s="670">
        <v>0</v>
      </c>
      <c r="AA296" s="670">
        <v>0</v>
      </c>
      <c r="AB296" s="670">
        <v>0</v>
      </c>
      <c r="AC296" s="670">
        <v>0</v>
      </c>
      <c r="AD296" s="670">
        <v>0</v>
      </c>
      <c r="AE296" s="670">
        <v>0</v>
      </c>
      <c r="AF296" s="670">
        <v>0</v>
      </c>
      <c r="AG296" s="670">
        <v>0</v>
      </c>
      <c r="AH296" s="670">
        <v>0</v>
      </c>
      <c r="AI296" s="670">
        <v>0</v>
      </c>
      <c r="AJ296" s="700">
        <v>0</v>
      </c>
      <c r="AK296" s="695">
        <f t="shared" si="111"/>
        <v>0</v>
      </c>
    </row>
    <row r="297" spans="2:37" ht="18" hidden="1" customHeight="1">
      <c r="B297" s="219"/>
      <c r="C297" s="1068"/>
      <c r="D297" s="667"/>
      <c r="E297" s="668" t="s">
        <v>209</v>
      </c>
      <c r="F297" s="669">
        <v>0</v>
      </c>
      <c r="G297" s="670">
        <v>0</v>
      </c>
      <c r="H297" s="670">
        <v>0</v>
      </c>
      <c r="I297" s="670">
        <v>0</v>
      </c>
      <c r="J297" s="670">
        <v>0</v>
      </c>
      <c r="K297" s="670">
        <v>0</v>
      </c>
      <c r="L297" s="670">
        <v>0</v>
      </c>
      <c r="M297" s="670">
        <v>0</v>
      </c>
      <c r="N297" s="670">
        <v>0</v>
      </c>
      <c r="O297" s="670">
        <v>0</v>
      </c>
      <c r="P297" s="670">
        <v>0</v>
      </c>
      <c r="Q297" s="670">
        <v>0</v>
      </c>
      <c r="R297" s="670">
        <v>0</v>
      </c>
      <c r="S297" s="670">
        <v>0</v>
      </c>
      <c r="T297" s="670">
        <v>0</v>
      </c>
      <c r="U297" s="670">
        <v>0</v>
      </c>
      <c r="V297" s="670">
        <v>0</v>
      </c>
      <c r="W297" s="670">
        <v>0</v>
      </c>
      <c r="X297" s="670">
        <v>0</v>
      </c>
      <c r="Y297" s="670">
        <v>0</v>
      </c>
      <c r="Z297" s="670">
        <v>0</v>
      </c>
      <c r="AA297" s="670">
        <v>0</v>
      </c>
      <c r="AB297" s="670">
        <v>0</v>
      </c>
      <c r="AC297" s="670">
        <v>0</v>
      </c>
      <c r="AD297" s="670">
        <v>0</v>
      </c>
      <c r="AE297" s="670">
        <v>0</v>
      </c>
      <c r="AF297" s="670">
        <v>0</v>
      </c>
      <c r="AG297" s="670">
        <v>0</v>
      </c>
      <c r="AH297" s="670">
        <v>0</v>
      </c>
      <c r="AI297" s="670">
        <v>0</v>
      </c>
      <c r="AJ297" s="700">
        <v>0</v>
      </c>
      <c r="AK297" s="695">
        <f t="shared" si="111"/>
        <v>0</v>
      </c>
    </row>
    <row r="298" spans="2:37" ht="18" hidden="1" customHeight="1">
      <c r="B298" s="219"/>
      <c r="C298" s="1068"/>
      <c r="D298" s="667"/>
      <c r="E298" s="668" t="s">
        <v>210</v>
      </c>
      <c r="F298" s="669">
        <v>0</v>
      </c>
      <c r="G298" s="670">
        <v>0</v>
      </c>
      <c r="H298" s="670">
        <v>0</v>
      </c>
      <c r="I298" s="670">
        <v>0</v>
      </c>
      <c r="J298" s="670">
        <v>0</v>
      </c>
      <c r="K298" s="670">
        <v>0</v>
      </c>
      <c r="L298" s="670">
        <v>0</v>
      </c>
      <c r="M298" s="670">
        <v>0</v>
      </c>
      <c r="N298" s="670">
        <v>0</v>
      </c>
      <c r="O298" s="670">
        <v>0</v>
      </c>
      <c r="P298" s="670">
        <v>0</v>
      </c>
      <c r="Q298" s="670">
        <v>0</v>
      </c>
      <c r="R298" s="670">
        <v>0</v>
      </c>
      <c r="S298" s="670">
        <v>0</v>
      </c>
      <c r="T298" s="670">
        <v>0</v>
      </c>
      <c r="U298" s="670">
        <v>0</v>
      </c>
      <c r="V298" s="670">
        <v>0</v>
      </c>
      <c r="W298" s="670">
        <v>0</v>
      </c>
      <c r="X298" s="670">
        <v>0</v>
      </c>
      <c r="Y298" s="670">
        <v>0</v>
      </c>
      <c r="Z298" s="670">
        <v>0</v>
      </c>
      <c r="AA298" s="670">
        <v>0</v>
      </c>
      <c r="AB298" s="670">
        <v>0</v>
      </c>
      <c r="AC298" s="670">
        <v>0</v>
      </c>
      <c r="AD298" s="670">
        <v>0</v>
      </c>
      <c r="AE298" s="670">
        <v>0</v>
      </c>
      <c r="AF298" s="670">
        <v>0</v>
      </c>
      <c r="AG298" s="670">
        <v>0</v>
      </c>
      <c r="AH298" s="670">
        <v>0</v>
      </c>
      <c r="AI298" s="670">
        <v>0</v>
      </c>
      <c r="AJ298" s="700">
        <v>0</v>
      </c>
      <c r="AK298" s="695">
        <f t="shared" si="111"/>
        <v>0</v>
      </c>
    </row>
    <row r="299" spans="2:37" ht="18" hidden="1" customHeight="1">
      <c r="B299" s="219"/>
      <c r="C299" s="1068"/>
      <c r="D299" s="667"/>
      <c r="E299" s="668" t="s">
        <v>211</v>
      </c>
      <c r="F299" s="669">
        <v>0</v>
      </c>
      <c r="G299" s="670">
        <v>0</v>
      </c>
      <c r="H299" s="670">
        <v>0</v>
      </c>
      <c r="I299" s="670">
        <v>0</v>
      </c>
      <c r="J299" s="670">
        <v>0</v>
      </c>
      <c r="K299" s="670">
        <v>0</v>
      </c>
      <c r="L299" s="670">
        <v>0</v>
      </c>
      <c r="M299" s="670">
        <v>0</v>
      </c>
      <c r="N299" s="670">
        <v>0</v>
      </c>
      <c r="O299" s="670">
        <v>0</v>
      </c>
      <c r="P299" s="670">
        <v>0</v>
      </c>
      <c r="Q299" s="670">
        <v>0</v>
      </c>
      <c r="R299" s="670">
        <v>0</v>
      </c>
      <c r="S299" s="670">
        <v>0</v>
      </c>
      <c r="T299" s="670">
        <v>0</v>
      </c>
      <c r="U299" s="670">
        <v>0</v>
      </c>
      <c r="V299" s="670">
        <v>0</v>
      </c>
      <c r="W299" s="670">
        <v>0</v>
      </c>
      <c r="X299" s="670">
        <v>0</v>
      </c>
      <c r="Y299" s="670">
        <v>0</v>
      </c>
      <c r="Z299" s="670">
        <v>0</v>
      </c>
      <c r="AA299" s="670">
        <v>0</v>
      </c>
      <c r="AB299" s="670">
        <v>0</v>
      </c>
      <c r="AC299" s="670">
        <v>0</v>
      </c>
      <c r="AD299" s="670">
        <v>0</v>
      </c>
      <c r="AE299" s="670">
        <v>0</v>
      </c>
      <c r="AF299" s="670">
        <v>0</v>
      </c>
      <c r="AG299" s="670">
        <v>0</v>
      </c>
      <c r="AH299" s="670">
        <v>0</v>
      </c>
      <c r="AI299" s="670">
        <v>0</v>
      </c>
      <c r="AJ299" s="700">
        <v>0</v>
      </c>
      <c r="AK299" s="695">
        <f t="shared" si="111"/>
        <v>0</v>
      </c>
    </row>
    <row r="300" spans="2:37" ht="18" hidden="1" customHeight="1">
      <c r="B300" s="219"/>
      <c r="C300" s="1068"/>
      <c r="D300" s="667"/>
      <c r="E300" s="668" t="s">
        <v>212</v>
      </c>
      <c r="F300" s="669">
        <v>0</v>
      </c>
      <c r="G300" s="670">
        <v>0</v>
      </c>
      <c r="H300" s="670">
        <v>0</v>
      </c>
      <c r="I300" s="670">
        <v>0</v>
      </c>
      <c r="J300" s="670">
        <v>0</v>
      </c>
      <c r="K300" s="670">
        <v>0</v>
      </c>
      <c r="L300" s="670">
        <v>0</v>
      </c>
      <c r="M300" s="670">
        <v>0</v>
      </c>
      <c r="N300" s="670">
        <v>0</v>
      </c>
      <c r="O300" s="670">
        <v>0</v>
      </c>
      <c r="P300" s="670">
        <v>0</v>
      </c>
      <c r="Q300" s="670">
        <v>0</v>
      </c>
      <c r="R300" s="670">
        <v>0</v>
      </c>
      <c r="S300" s="670">
        <v>0</v>
      </c>
      <c r="T300" s="670">
        <v>0</v>
      </c>
      <c r="U300" s="670">
        <v>0</v>
      </c>
      <c r="V300" s="670">
        <v>0</v>
      </c>
      <c r="W300" s="670">
        <v>0</v>
      </c>
      <c r="X300" s="670">
        <v>0</v>
      </c>
      <c r="Y300" s="670">
        <v>0</v>
      </c>
      <c r="Z300" s="670">
        <v>0</v>
      </c>
      <c r="AA300" s="670">
        <v>0</v>
      </c>
      <c r="AB300" s="670">
        <v>0</v>
      </c>
      <c r="AC300" s="670">
        <v>0</v>
      </c>
      <c r="AD300" s="670">
        <v>0</v>
      </c>
      <c r="AE300" s="670">
        <v>0</v>
      </c>
      <c r="AF300" s="670">
        <v>0</v>
      </c>
      <c r="AG300" s="670">
        <v>0</v>
      </c>
      <c r="AH300" s="670">
        <v>0</v>
      </c>
      <c r="AI300" s="670">
        <v>0</v>
      </c>
      <c r="AJ300" s="700">
        <v>0</v>
      </c>
      <c r="AK300" s="695">
        <f t="shared" si="111"/>
        <v>0</v>
      </c>
    </row>
    <row r="301" spans="2:37" ht="18" hidden="1" customHeight="1">
      <c r="B301" s="219"/>
      <c r="C301" s="1069"/>
      <c r="D301" s="671"/>
      <c r="E301" s="672" t="s">
        <v>213</v>
      </c>
      <c r="F301" s="673">
        <v>0</v>
      </c>
      <c r="G301" s="674">
        <v>0</v>
      </c>
      <c r="H301" s="674">
        <v>0</v>
      </c>
      <c r="I301" s="674">
        <v>0</v>
      </c>
      <c r="J301" s="674">
        <v>0</v>
      </c>
      <c r="K301" s="674">
        <v>0</v>
      </c>
      <c r="L301" s="674">
        <v>0</v>
      </c>
      <c r="M301" s="674">
        <v>0</v>
      </c>
      <c r="N301" s="674">
        <v>0</v>
      </c>
      <c r="O301" s="674">
        <v>0</v>
      </c>
      <c r="P301" s="674">
        <v>0</v>
      </c>
      <c r="Q301" s="674">
        <v>0</v>
      </c>
      <c r="R301" s="674">
        <v>0</v>
      </c>
      <c r="S301" s="674">
        <v>0</v>
      </c>
      <c r="T301" s="674">
        <v>0</v>
      </c>
      <c r="U301" s="674">
        <v>0</v>
      </c>
      <c r="V301" s="674">
        <v>0</v>
      </c>
      <c r="W301" s="674">
        <v>0</v>
      </c>
      <c r="X301" s="674">
        <v>0</v>
      </c>
      <c r="Y301" s="674">
        <v>0</v>
      </c>
      <c r="Z301" s="674">
        <v>0</v>
      </c>
      <c r="AA301" s="674">
        <v>0</v>
      </c>
      <c r="AB301" s="674">
        <v>0</v>
      </c>
      <c r="AC301" s="674">
        <v>0</v>
      </c>
      <c r="AD301" s="674">
        <v>0</v>
      </c>
      <c r="AE301" s="674">
        <v>0</v>
      </c>
      <c r="AF301" s="674">
        <v>0</v>
      </c>
      <c r="AG301" s="674">
        <v>0</v>
      </c>
      <c r="AH301" s="674">
        <v>0</v>
      </c>
      <c r="AI301" s="674">
        <v>0</v>
      </c>
      <c r="AJ301" s="701">
        <v>0</v>
      </c>
      <c r="AK301" s="697">
        <f t="shared" si="111"/>
        <v>0</v>
      </c>
    </row>
    <row r="302" spans="2:37" ht="18" hidden="1" customHeight="1">
      <c r="B302" s="219"/>
      <c r="C302" s="1065" t="s">
        <v>215</v>
      </c>
      <c r="D302" s="653"/>
      <c r="E302" s="654" t="s">
        <v>207</v>
      </c>
      <c r="F302" s="675">
        <v>0</v>
      </c>
      <c r="G302" s="675">
        <v>0</v>
      </c>
      <c r="H302" s="675">
        <v>0</v>
      </c>
      <c r="I302" s="675">
        <v>1</v>
      </c>
      <c r="J302" s="675">
        <v>0</v>
      </c>
      <c r="K302" s="675">
        <v>0</v>
      </c>
      <c r="L302" s="675">
        <v>0</v>
      </c>
      <c r="M302" s="675">
        <v>1</v>
      </c>
      <c r="N302" s="675">
        <v>1</v>
      </c>
      <c r="O302" s="675">
        <v>1</v>
      </c>
      <c r="P302" s="675">
        <v>0</v>
      </c>
      <c r="Q302" s="675">
        <v>1</v>
      </c>
      <c r="R302" s="675">
        <v>1</v>
      </c>
      <c r="S302" s="675">
        <v>1</v>
      </c>
      <c r="T302" s="675">
        <v>1</v>
      </c>
      <c r="U302" s="675">
        <v>1</v>
      </c>
      <c r="V302" s="675">
        <v>1</v>
      </c>
      <c r="W302" s="675">
        <v>1</v>
      </c>
      <c r="X302" s="675">
        <v>1</v>
      </c>
      <c r="Y302" s="675">
        <v>1</v>
      </c>
      <c r="Z302" s="675">
        <v>0</v>
      </c>
      <c r="AA302" s="675">
        <v>0</v>
      </c>
      <c r="AB302" s="675">
        <v>0</v>
      </c>
      <c r="AC302" s="675">
        <v>0</v>
      </c>
      <c r="AD302" s="675">
        <v>0</v>
      </c>
      <c r="AE302" s="675">
        <v>0</v>
      </c>
      <c r="AF302" s="675">
        <v>0</v>
      </c>
      <c r="AG302" s="675">
        <v>0</v>
      </c>
      <c r="AH302" s="675">
        <v>0</v>
      </c>
      <c r="AI302" s="675">
        <v>0</v>
      </c>
      <c r="AJ302" s="675">
        <v>0</v>
      </c>
      <c r="AK302" s="699">
        <f>SUM(F302:AJ302)/LEFT(Summary!$D$3,2)</f>
        <v>1.8571428571428572</v>
      </c>
    </row>
    <row r="303" spans="2:37" ht="18" hidden="1" customHeight="1">
      <c r="B303" s="219"/>
      <c r="C303" s="1066"/>
      <c r="D303" s="656"/>
      <c r="E303" s="657" t="s">
        <v>208</v>
      </c>
      <c r="F303" s="676">
        <v>0</v>
      </c>
      <c r="G303" s="676">
        <v>0</v>
      </c>
      <c r="H303" s="676">
        <v>0</v>
      </c>
      <c r="I303" s="676">
        <v>4</v>
      </c>
      <c r="J303" s="676">
        <v>0</v>
      </c>
      <c r="K303" s="676">
        <v>0</v>
      </c>
      <c r="L303" s="676">
        <v>0</v>
      </c>
      <c r="M303" s="676">
        <v>4</v>
      </c>
      <c r="N303" s="676">
        <v>4</v>
      </c>
      <c r="O303" s="676">
        <v>4</v>
      </c>
      <c r="P303" s="676">
        <v>0</v>
      </c>
      <c r="Q303" s="676">
        <v>4</v>
      </c>
      <c r="R303" s="676">
        <v>4</v>
      </c>
      <c r="S303" s="676">
        <v>4</v>
      </c>
      <c r="T303" s="676">
        <v>4</v>
      </c>
      <c r="U303" s="676">
        <v>4</v>
      </c>
      <c r="V303" s="676">
        <v>4</v>
      </c>
      <c r="W303" s="676">
        <v>4</v>
      </c>
      <c r="X303" s="676">
        <v>4</v>
      </c>
      <c r="Y303" s="676">
        <v>4</v>
      </c>
      <c r="Z303" s="676">
        <v>0</v>
      </c>
      <c r="AA303" s="676">
        <v>0</v>
      </c>
      <c r="AB303" s="676">
        <v>0</v>
      </c>
      <c r="AC303" s="676">
        <v>0</v>
      </c>
      <c r="AD303" s="676">
        <v>0</v>
      </c>
      <c r="AE303" s="676">
        <v>0</v>
      </c>
      <c r="AF303" s="676">
        <v>0</v>
      </c>
      <c r="AG303" s="676">
        <v>0</v>
      </c>
      <c r="AH303" s="676">
        <v>0</v>
      </c>
      <c r="AI303" s="676">
        <v>0</v>
      </c>
      <c r="AJ303" s="676">
        <v>0</v>
      </c>
      <c r="AK303" s="695">
        <f>SUM(F303:AJ303)/LEFT(Summary!$D$3,2)</f>
        <v>7.4285714285714288</v>
      </c>
    </row>
    <row r="304" spans="2:37" ht="18" hidden="1" customHeight="1">
      <c r="B304" s="219"/>
      <c r="C304" s="1066"/>
      <c r="D304" s="656"/>
      <c r="E304" s="657" t="s">
        <v>209</v>
      </c>
      <c r="F304" s="676">
        <v>1</v>
      </c>
      <c r="G304" s="676">
        <v>1</v>
      </c>
      <c r="H304" s="676">
        <v>1</v>
      </c>
      <c r="I304" s="676">
        <v>1</v>
      </c>
      <c r="J304" s="676">
        <v>1</v>
      </c>
      <c r="K304" s="676">
        <v>1</v>
      </c>
      <c r="L304" s="676">
        <v>1</v>
      </c>
      <c r="M304" s="676">
        <v>0</v>
      </c>
      <c r="N304" s="676">
        <v>0</v>
      </c>
      <c r="O304" s="676">
        <v>1</v>
      </c>
      <c r="P304" s="676">
        <v>1</v>
      </c>
      <c r="Q304" s="676">
        <v>1</v>
      </c>
      <c r="R304" s="676">
        <v>1</v>
      </c>
      <c r="S304" s="676">
        <v>0</v>
      </c>
      <c r="T304" s="676">
        <v>0</v>
      </c>
      <c r="U304" s="676">
        <v>0</v>
      </c>
      <c r="V304" s="676">
        <v>0</v>
      </c>
      <c r="W304" s="676">
        <v>1</v>
      </c>
      <c r="X304" s="676">
        <v>0</v>
      </c>
      <c r="Y304" s="676">
        <v>0</v>
      </c>
      <c r="Z304" s="676">
        <v>1</v>
      </c>
      <c r="AA304" s="676">
        <v>1</v>
      </c>
      <c r="AB304" s="676">
        <v>1</v>
      </c>
      <c r="AC304" s="676">
        <v>1</v>
      </c>
      <c r="AD304" s="676">
        <v>1</v>
      </c>
      <c r="AE304" s="676">
        <v>0</v>
      </c>
      <c r="AF304" s="676">
        <v>1</v>
      </c>
      <c r="AG304" s="676">
        <v>1</v>
      </c>
      <c r="AH304" s="676">
        <v>1</v>
      </c>
      <c r="AI304" s="676">
        <v>0</v>
      </c>
      <c r="AJ304" s="676">
        <v>0</v>
      </c>
      <c r="AK304" s="695">
        <f>SUM(F304:AJ304)/LEFT(Summary!$D$3,2)</f>
        <v>2.8571428571428572</v>
      </c>
    </row>
    <row r="305" spans="2:37" ht="18" hidden="1" customHeight="1">
      <c r="B305" s="219"/>
      <c r="C305" s="1066"/>
      <c r="D305" s="656"/>
      <c r="E305" s="657" t="s">
        <v>210</v>
      </c>
      <c r="F305" s="676">
        <v>13</v>
      </c>
      <c r="G305" s="676">
        <v>14</v>
      </c>
      <c r="H305" s="676">
        <v>18</v>
      </c>
      <c r="I305" s="676">
        <v>17</v>
      </c>
      <c r="J305" s="676">
        <v>17</v>
      </c>
      <c r="K305" s="676">
        <v>17</v>
      </c>
      <c r="L305" s="676">
        <v>10</v>
      </c>
      <c r="M305" s="676">
        <v>0</v>
      </c>
      <c r="N305" s="676">
        <v>0</v>
      </c>
      <c r="O305" s="676">
        <v>7</v>
      </c>
      <c r="P305" s="676">
        <v>15</v>
      </c>
      <c r="Q305" s="676">
        <v>15</v>
      </c>
      <c r="R305" s="676">
        <v>10</v>
      </c>
      <c r="S305" s="676">
        <v>0</v>
      </c>
      <c r="T305" s="676">
        <v>0</v>
      </c>
      <c r="U305" s="676">
        <v>0</v>
      </c>
      <c r="V305" s="676">
        <v>0</v>
      </c>
      <c r="W305" s="676">
        <v>15</v>
      </c>
      <c r="X305" s="676">
        <v>0</v>
      </c>
      <c r="Y305" s="676">
        <v>0</v>
      </c>
      <c r="Z305" s="676">
        <v>17</v>
      </c>
      <c r="AA305" s="676">
        <v>15</v>
      </c>
      <c r="AB305" s="676">
        <v>16</v>
      </c>
      <c r="AC305" s="676">
        <v>14</v>
      </c>
      <c r="AD305" s="676">
        <v>16</v>
      </c>
      <c r="AE305" s="676">
        <v>0</v>
      </c>
      <c r="AF305" s="676">
        <v>15</v>
      </c>
      <c r="AG305" s="676">
        <v>15</v>
      </c>
      <c r="AH305" s="676">
        <v>4</v>
      </c>
      <c r="AI305" s="676">
        <v>0</v>
      </c>
      <c r="AJ305" s="676">
        <v>0</v>
      </c>
      <c r="AK305" s="695">
        <f>SUM(F305:AJ305)/LEFT(Summary!$D$3,2)</f>
        <v>40</v>
      </c>
    </row>
    <row r="306" spans="2:37" ht="18" hidden="1" customHeight="1">
      <c r="B306" s="219"/>
      <c r="C306" s="1066"/>
      <c r="D306" s="656"/>
      <c r="E306" s="657" t="s">
        <v>211</v>
      </c>
      <c r="F306" s="676">
        <v>0</v>
      </c>
      <c r="G306" s="676">
        <v>0</v>
      </c>
      <c r="H306" s="676">
        <v>0</v>
      </c>
      <c r="I306" s="676">
        <v>1</v>
      </c>
      <c r="J306" s="676">
        <v>0</v>
      </c>
      <c r="K306" s="676">
        <v>0</v>
      </c>
      <c r="L306" s="676">
        <v>0</v>
      </c>
      <c r="M306" s="676">
        <v>1</v>
      </c>
      <c r="N306" s="676">
        <v>1</v>
      </c>
      <c r="O306" s="676">
        <v>1</v>
      </c>
      <c r="P306" s="676">
        <v>0</v>
      </c>
      <c r="Q306" s="676">
        <v>1</v>
      </c>
      <c r="R306" s="676">
        <v>1</v>
      </c>
      <c r="S306" s="676">
        <v>1</v>
      </c>
      <c r="T306" s="676">
        <v>1</v>
      </c>
      <c r="U306" s="676">
        <v>1</v>
      </c>
      <c r="V306" s="676">
        <v>1</v>
      </c>
      <c r="W306" s="676">
        <v>1</v>
      </c>
      <c r="X306" s="676">
        <v>1</v>
      </c>
      <c r="Y306" s="676">
        <v>1</v>
      </c>
      <c r="Z306" s="676">
        <v>0</v>
      </c>
      <c r="AA306" s="676">
        <v>0</v>
      </c>
      <c r="AB306" s="676">
        <v>0</v>
      </c>
      <c r="AC306" s="676">
        <v>0</v>
      </c>
      <c r="AD306" s="676">
        <v>0</v>
      </c>
      <c r="AE306" s="676">
        <v>0</v>
      </c>
      <c r="AF306" s="676">
        <v>0</v>
      </c>
      <c r="AG306" s="676">
        <v>0</v>
      </c>
      <c r="AH306" s="676">
        <v>0</v>
      </c>
      <c r="AI306" s="676">
        <v>0</v>
      </c>
      <c r="AJ306" s="676">
        <v>0</v>
      </c>
      <c r="AK306" s="695">
        <f>SUM(F306:AJ306)/LEFT(Summary!$D$3,2)</f>
        <v>1.8571428571428572</v>
      </c>
    </row>
    <row r="307" spans="2:37" ht="18" hidden="1" customHeight="1">
      <c r="B307" s="219"/>
      <c r="C307" s="1066"/>
      <c r="D307" s="656"/>
      <c r="E307" s="657" t="s">
        <v>212</v>
      </c>
      <c r="F307" s="676">
        <v>0</v>
      </c>
      <c r="G307" s="676">
        <v>0</v>
      </c>
      <c r="H307" s="676">
        <v>0</v>
      </c>
      <c r="I307" s="676">
        <v>1</v>
      </c>
      <c r="J307" s="676">
        <v>0</v>
      </c>
      <c r="K307" s="676">
        <v>0</v>
      </c>
      <c r="L307" s="676">
        <v>0</v>
      </c>
      <c r="M307" s="676">
        <v>1</v>
      </c>
      <c r="N307" s="676">
        <v>1</v>
      </c>
      <c r="O307" s="676">
        <v>1</v>
      </c>
      <c r="P307" s="676">
        <v>0</v>
      </c>
      <c r="Q307" s="676">
        <v>1</v>
      </c>
      <c r="R307" s="676">
        <v>1</v>
      </c>
      <c r="S307" s="676">
        <v>1</v>
      </c>
      <c r="T307" s="676">
        <v>1</v>
      </c>
      <c r="U307" s="676">
        <v>1</v>
      </c>
      <c r="V307" s="676">
        <v>1</v>
      </c>
      <c r="W307" s="676">
        <v>1</v>
      </c>
      <c r="X307" s="676">
        <v>1</v>
      </c>
      <c r="Y307" s="676">
        <v>1</v>
      </c>
      <c r="Z307" s="676">
        <v>0</v>
      </c>
      <c r="AA307" s="676">
        <v>0</v>
      </c>
      <c r="AB307" s="676">
        <v>0</v>
      </c>
      <c r="AC307" s="676">
        <v>0</v>
      </c>
      <c r="AD307" s="676">
        <v>0</v>
      </c>
      <c r="AE307" s="676">
        <v>0</v>
      </c>
      <c r="AF307" s="676">
        <v>0</v>
      </c>
      <c r="AG307" s="676">
        <v>0</v>
      </c>
      <c r="AH307" s="676">
        <v>0</v>
      </c>
      <c r="AI307" s="676">
        <v>0</v>
      </c>
      <c r="AJ307" s="676">
        <v>0</v>
      </c>
      <c r="AK307" s="695">
        <f>SUM(F307:AJ307)/LEFT(Summary!$D$3,2)</f>
        <v>1.8571428571428572</v>
      </c>
    </row>
    <row r="308" spans="2:37" ht="18" hidden="1" customHeight="1">
      <c r="B308" s="219"/>
      <c r="C308" s="1066"/>
      <c r="D308" s="656"/>
      <c r="E308" s="660" t="s">
        <v>213</v>
      </c>
      <c r="F308" s="677">
        <v>0</v>
      </c>
      <c r="G308" s="677">
        <v>0</v>
      </c>
      <c r="H308" s="677">
        <v>0</v>
      </c>
      <c r="I308" s="677">
        <v>0</v>
      </c>
      <c r="J308" s="677">
        <v>0</v>
      </c>
      <c r="K308" s="677">
        <v>0</v>
      </c>
      <c r="L308" s="677">
        <v>0</v>
      </c>
      <c r="M308" s="677">
        <v>0</v>
      </c>
      <c r="N308" s="677">
        <v>0</v>
      </c>
      <c r="O308" s="677">
        <v>0</v>
      </c>
      <c r="P308" s="677">
        <v>0</v>
      </c>
      <c r="Q308" s="677">
        <v>0</v>
      </c>
      <c r="R308" s="677">
        <v>0</v>
      </c>
      <c r="S308" s="677">
        <v>0</v>
      </c>
      <c r="T308" s="677">
        <v>0</v>
      </c>
      <c r="U308" s="677">
        <v>0</v>
      </c>
      <c r="V308" s="677">
        <v>0</v>
      </c>
      <c r="W308" s="677">
        <v>0</v>
      </c>
      <c r="X308" s="677">
        <v>0</v>
      </c>
      <c r="Y308" s="677">
        <v>0</v>
      </c>
      <c r="Z308" s="677">
        <v>0</v>
      </c>
      <c r="AA308" s="677">
        <v>0</v>
      </c>
      <c r="AB308" s="677">
        <v>0</v>
      </c>
      <c r="AC308" s="677">
        <v>0</v>
      </c>
      <c r="AD308" s="677">
        <v>0</v>
      </c>
      <c r="AE308" s="677">
        <v>0</v>
      </c>
      <c r="AF308" s="677">
        <v>0</v>
      </c>
      <c r="AG308" s="677">
        <v>0</v>
      </c>
      <c r="AH308" s="677">
        <v>0</v>
      </c>
      <c r="AI308" s="677">
        <v>0</v>
      </c>
      <c r="AJ308" s="677">
        <v>0</v>
      </c>
      <c r="AK308" s="697">
        <f>SUM(F308:AJ308)/LEFT(Summary!$D$3,2)</f>
        <v>0</v>
      </c>
    </row>
    <row r="309" spans="2:37" ht="18" hidden="1" customHeight="1">
      <c r="B309" s="219"/>
      <c r="C309" s="1067" t="s">
        <v>216</v>
      </c>
      <c r="D309" s="663"/>
      <c r="E309" s="664" t="s">
        <v>207</v>
      </c>
      <c r="F309" s="678">
        <v>1</v>
      </c>
      <c r="G309" s="678">
        <v>1</v>
      </c>
      <c r="H309" s="678">
        <v>1</v>
      </c>
      <c r="I309" s="678">
        <v>1</v>
      </c>
      <c r="J309" s="678">
        <v>0</v>
      </c>
      <c r="K309" s="678">
        <v>0</v>
      </c>
      <c r="L309" s="678">
        <v>0</v>
      </c>
      <c r="M309" s="678">
        <v>1</v>
      </c>
      <c r="N309" s="678">
        <v>1</v>
      </c>
      <c r="O309" s="678">
        <v>0</v>
      </c>
      <c r="P309" s="678">
        <v>1</v>
      </c>
      <c r="Q309" s="678">
        <v>1</v>
      </c>
      <c r="R309" s="678">
        <v>1</v>
      </c>
      <c r="S309" s="678">
        <v>1</v>
      </c>
      <c r="T309" s="678">
        <v>0</v>
      </c>
      <c r="U309" s="678">
        <v>1</v>
      </c>
      <c r="V309" s="678">
        <v>1</v>
      </c>
      <c r="W309" s="678">
        <v>1</v>
      </c>
      <c r="X309" s="678">
        <v>1</v>
      </c>
      <c r="Y309" s="678">
        <v>0</v>
      </c>
      <c r="Z309" s="678">
        <v>0</v>
      </c>
      <c r="AA309" s="678">
        <v>0</v>
      </c>
      <c r="AB309" s="678">
        <v>0</v>
      </c>
      <c r="AC309" s="678">
        <v>0</v>
      </c>
      <c r="AD309" s="678">
        <v>0</v>
      </c>
      <c r="AE309" s="678">
        <v>0</v>
      </c>
      <c r="AF309" s="678">
        <v>0</v>
      </c>
      <c r="AG309" s="678">
        <v>0</v>
      </c>
      <c r="AH309" s="678">
        <v>0</v>
      </c>
      <c r="AI309" s="678">
        <v>0</v>
      </c>
      <c r="AJ309" s="678">
        <v>0</v>
      </c>
      <c r="AK309" s="699">
        <f>SUM(F309:AJ309)/LEFT(Summary!$D$3,2)</f>
        <v>2</v>
      </c>
    </row>
    <row r="310" spans="2:37" ht="18" hidden="1" customHeight="1">
      <c r="B310" s="219"/>
      <c r="C310" s="1068"/>
      <c r="D310" s="667"/>
      <c r="E310" s="668" t="s">
        <v>208</v>
      </c>
      <c r="F310" s="678">
        <v>4</v>
      </c>
      <c r="G310" s="678">
        <v>4</v>
      </c>
      <c r="H310" s="678">
        <v>4</v>
      </c>
      <c r="I310" s="678">
        <v>4</v>
      </c>
      <c r="J310" s="678">
        <v>0</v>
      </c>
      <c r="K310" s="678">
        <v>0</v>
      </c>
      <c r="L310" s="678">
        <v>0</v>
      </c>
      <c r="M310" s="678">
        <v>4</v>
      </c>
      <c r="N310" s="678">
        <v>4</v>
      </c>
      <c r="O310" s="678">
        <v>0</v>
      </c>
      <c r="P310" s="678">
        <v>4</v>
      </c>
      <c r="Q310" s="678">
        <v>4</v>
      </c>
      <c r="R310" s="678">
        <v>4</v>
      </c>
      <c r="S310" s="678">
        <v>4</v>
      </c>
      <c r="T310" s="678">
        <v>0</v>
      </c>
      <c r="U310" s="678">
        <v>4</v>
      </c>
      <c r="V310" s="678">
        <v>4</v>
      </c>
      <c r="W310" s="678">
        <v>4</v>
      </c>
      <c r="X310" s="678">
        <v>4</v>
      </c>
      <c r="Y310" s="678">
        <v>0</v>
      </c>
      <c r="Z310" s="678">
        <v>0</v>
      </c>
      <c r="AA310" s="678">
        <v>0</v>
      </c>
      <c r="AB310" s="678">
        <v>0</v>
      </c>
      <c r="AC310" s="678">
        <v>0</v>
      </c>
      <c r="AD310" s="678">
        <v>0</v>
      </c>
      <c r="AE310" s="678">
        <v>0</v>
      </c>
      <c r="AF310" s="678">
        <v>0</v>
      </c>
      <c r="AG310" s="678">
        <v>0</v>
      </c>
      <c r="AH310" s="678">
        <v>0</v>
      </c>
      <c r="AI310" s="678">
        <v>0</v>
      </c>
      <c r="AJ310" s="678">
        <v>0</v>
      </c>
      <c r="AK310" s="695">
        <f>SUM(F310:AJ310)/LEFT(Summary!$D$3,2)</f>
        <v>8</v>
      </c>
    </row>
    <row r="311" spans="2:37" ht="18" hidden="1" customHeight="1">
      <c r="B311" s="219"/>
      <c r="C311" s="1068"/>
      <c r="D311" s="667"/>
      <c r="E311" s="668" t="s">
        <v>209</v>
      </c>
      <c r="F311" s="678">
        <v>1</v>
      </c>
      <c r="G311" s="678">
        <v>1</v>
      </c>
      <c r="H311" s="678">
        <v>1</v>
      </c>
      <c r="I311" s="678">
        <v>1</v>
      </c>
      <c r="J311" s="678">
        <v>1</v>
      </c>
      <c r="K311" s="678">
        <v>1</v>
      </c>
      <c r="L311" s="678">
        <v>0</v>
      </c>
      <c r="M311" s="678">
        <v>0</v>
      </c>
      <c r="N311" s="678">
        <v>0</v>
      </c>
      <c r="O311" s="678">
        <v>1</v>
      </c>
      <c r="P311" s="678">
        <v>1</v>
      </c>
      <c r="Q311" s="678">
        <v>0</v>
      </c>
      <c r="R311" s="678">
        <v>0</v>
      </c>
      <c r="S311" s="678">
        <v>0</v>
      </c>
      <c r="T311" s="678">
        <v>0</v>
      </c>
      <c r="U311" s="678">
        <v>0</v>
      </c>
      <c r="V311" s="678">
        <v>1</v>
      </c>
      <c r="W311" s="678">
        <v>2</v>
      </c>
      <c r="X311" s="678">
        <v>0</v>
      </c>
      <c r="Y311" s="678">
        <v>1</v>
      </c>
      <c r="Z311" s="678">
        <v>1</v>
      </c>
      <c r="AA311" s="678">
        <v>1</v>
      </c>
      <c r="AB311" s="678">
        <v>1</v>
      </c>
      <c r="AC311" s="678">
        <v>1</v>
      </c>
      <c r="AD311" s="678">
        <v>1</v>
      </c>
      <c r="AE311" s="678">
        <v>1</v>
      </c>
      <c r="AF311" s="678">
        <v>1</v>
      </c>
      <c r="AG311" s="678">
        <v>1</v>
      </c>
      <c r="AH311" s="678">
        <v>0</v>
      </c>
      <c r="AI311" s="678">
        <v>0</v>
      </c>
      <c r="AJ311" s="678">
        <v>0</v>
      </c>
      <c r="AK311" s="695">
        <f>SUM(F311:AJ311)/LEFT(Summary!$D$3,2)</f>
        <v>2.8571428571428572</v>
      </c>
    </row>
    <row r="312" spans="2:37" ht="18" hidden="1" customHeight="1">
      <c r="B312" s="219"/>
      <c r="C312" s="1068"/>
      <c r="D312" s="667"/>
      <c r="E312" s="668" t="s">
        <v>210</v>
      </c>
      <c r="F312" s="678">
        <v>13</v>
      </c>
      <c r="G312" s="678">
        <v>6</v>
      </c>
      <c r="H312" s="678">
        <v>11</v>
      </c>
      <c r="I312" s="678">
        <v>3</v>
      </c>
      <c r="J312" s="678">
        <v>15</v>
      </c>
      <c r="K312" s="678">
        <v>8</v>
      </c>
      <c r="L312" s="678">
        <v>0</v>
      </c>
      <c r="M312" s="678">
        <v>0</v>
      </c>
      <c r="N312" s="678">
        <v>0</v>
      </c>
      <c r="O312" s="678">
        <v>17</v>
      </c>
      <c r="P312" s="678">
        <v>4</v>
      </c>
      <c r="Q312" s="678">
        <v>0</v>
      </c>
      <c r="R312" s="678">
        <v>0</v>
      </c>
      <c r="S312" s="678">
        <v>0</v>
      </c>
      <c r="T312" s="678">
        <v>0</v>
      </c>
      <c r="U312" s="678">
        <v>0</v>
      </c>
      <c r="V312" s="678">
        <v>7</v>
      </c>
      <c r="W312" s="678">
        <v>15</v>
      </c>
      <c r="X312" s="678">
        <v>0</v>
      </c>
      <c r="Y312" s="678">
        <v>15</v>
      </c>
      <c r="Z312" s="678">
        <v>15</v>
      </c>
      <c r="AA312" s="678">
        <v>16</v>
      </c>
      <c r="AB312" s="678">
        <v>15</v>
      </c>
      <c r="AC312" s="678">
        <v>15</v>
      </c>
      <c r="AD312" s="678">
        <v>16</v>
      </c>
      <c r="AE312" s="678">
        <v>15</v>
      </c>
      <c r="AF312" s="678">
        <v>16</v>
      </c>
      <c r="AG312" s="678">
        <v>9</v>
      </c>
      <c r="AH312" s="678">
        <v>0</v>
      </c>
      <c r="AI312" s="678">
        <v>0</v>
      </c>
      <c r="AJ312" s="678">
        <v>0</v>
      </c>
      <c r="AK312" s="695">
        <f>SUM(F312:AJ312)/LEFT(Summary!$D$3,2)</f>
        <v>33</v>
      </c>
    </row>
    <row r="313" spans="2:37" ht="18" hidden="1" customHeight="1">
      <c r="B313" s="219"/>
      <c r="C313" s="1068"/>
      <c r="D313" s="667"/>
      <c r="E313" s="668" t="s">
        <v>211</v>
      </c>
      <c r="F313" s="678">
        <v>1</v>
      </c>
      <c r="G313" s="678">
        <v>1</v>
      </c>
      <c r="H313" s="678">
        <v>1</v>
      </c>
      <c r="I313" s="678">
        <v>1</v>
      </c>
      <c r="J313" s="678">
        <v>0</v>
      </c>
      <c r="K313" s="678">
        <v>0</v>
      </c>
      <c r="L313" s="678">
        <v>0</v>
      </c>
      <c r="M313" s="678">
        <v>1</v>
      </c>
      <c r="N313" s="678">
        <v>1</v>
      </c>
      <c r="O313" s="678">
        <v>0</v>
      </c>
      <c r="P313" s="678">
        <v>1</v>
      </c>
      <c r="Q313" s="678">
        <v>1</v>
      </c>
      <c r="R313" s="678">
        <v>1</v>
      </c>
      <c r="S313" s="678">
        <v>1</v>
      </c>
      <c r="T313" s="678">
        <v>0</v>
      </c>
      <c r="U313" s="678">
        <v>1</v>
      </c>
      <c r="V313" s="678">
        <v>1</v>
      </c>
      <c r="W313" s="678">
        <v>1</v>
      </c>
      <c r="X313" s="678">
        <v>1</v>
      </c>
      <c r="Y313" s="678">
        <v>0</v>
      </c>
      <c r="Z313" s="678">
        <v>0</v>
      </c>
      <c r="AA313" s="678">
        <v>0</v>
      </c>
      <c r="AB313" s="678">
        <v>0</v>
      </c>
      <c r="AC313" s="678">
        <v>0</v>
      </c>
      <c r="AD313" s="678">
        <v>0</v>
      </c>
      <c r="AE313" s="678">
        <v>0</v>
      </c>
      <c r="AF313" s="678">
        <v>0</v>
      </c>
      <c r="AG313" s="678">
        <v>0</v>
      </c>
      <c r="AH313" s="678">
        <v>0</v>
      </c>
      <c r="AI313" s="678">
        <v>0</v>
      </c>
      <c r="AJ313" s="678">
        <v>0</v>
      </c>
      <c r="AK313" s="695">
        <f>SUM(F313:AJ313)/LEFT(Summary!$D$3,2)</f>
        <v>2</v>
      </c>
    </row>
    <row r="314" spans="2:37" ht="18" hidden="1" customHeight="1">
      <c r="B314" s="219"/>
      <c r="C314" s="1068"/>
      <c r="D314" s="667"/>
      <c r="E314" s="668" t="s">
        <v>212</v>
      </c>
      <c r="F314" s="678">
        <v>1</v>
      </c>
      <c r="G314" s="678">
        <v>1</v>
      </c>
      <c r="H314" s="678">
        <v>1</v>
      </c>
      <c r="I314" s="678">
        <v>1</v>
      </c>
      <c r="J314" s="678">
        <v>0</v>
      </c>
      <c r="K314" s="678">
        <v>0</v>
      </c>
      <c r="L314" s="678">
        <v>0</v>
      </c>
      <c r="M314" s="678">
        <v>1</v>
      </c>
      <c r="N314" s="678">
        <v>1</v>
      </c>
      <c r="O314" s="678">
        <v>0</v>
      </c>
      <c r="P314" s="678">
        <v>1</v>
      </c>
      <c r="Q314" s="678">
        <v>1</v>
      </c>
      <c r="R314" s="678">
        <v>1</v>
      </c>
      <c r="S314" s="678">
        <v>1</v>
      </c>
      <c r="T314" s="678">
        <v>0</v>
      </c>
      <c r="U314" s="678">
        <v>1</v>
      </c>
      <c r="V314" s="678">
        <v>1</v>
      </c>
      <c r="W314" s="678">
        <v>1</v>
      </c>
      <c r="X314" s="678">
        <v>1</v>
      </c>
      <c r="Y314" s="678">
        <v>0</v>
      </c>
      <c r="Z314" s="678">
        <v>0</v>
      </c>
      <c r="AA314" s="678">
        <v>0</v>
      </c>
      <c r="AB314" s="678">
        <v>0</v>
      </c>
      <c r="AC314" s="678">
        <v>0</v>
      </c>
      <c r="AD314" s="678">
        <v>0</v>
      </c>
      <c r="AE314" s="678">
        <v>0</v>
      </c>
      <c r="AF314" s="678">
        <v>0</v>
      </c>
      <c r="AG314" s="678">
        <v>0</v>
      </c>
      <c r="AH314" s="678">
        <v>0</v>
      </c>
      <c r="AI314" s="678">
        <v>0</v>
      </c>
      <c r="AJ314" s="678">
        <v>0</v>
      </c>
      <c r="AK314" s="695">
        <f>SUM(F314:AJ314)/LEFT(Summary!$D$3,2)</f>
        <v>2</v>
      </c>
    </row>
    <row r="315" spans="2:37" ht="15.75" hidden="1" customHeight="1">
      <c r="B315" s="219"/>
      <c r="C315" s="1069"/>
      <c r="D315" s="671"/>
      <c r="E315" s="672" t="s">
        <v>213</v>
      </c>
      <c r="F315" s="679">
        <v>0</v>
      </c>
      <c r="G315" s="679">
        <v>0</v>
      </c>
      <c r="H315" s="679">
        <v>0</v>
      </c>
      <c r="I315" s="679">
        <v>0</v>
      </c>
      <c r="J315" s="679">
        <v>0</v>
      </c>
      <c r="K315" s="679">
        <v>0</v>
      </c>
      <c r="L315" s="679">
        <v>0</v>
      </c>
      <c r="M315" s="679">
        <v>0</v>
      </c>
      <c r="N315" s="679">
        <v>0</v>
      </c>
      <c r="O315" s="679">
        <v>0</v>
      </c>
      <c r="P315" s="679">
        <v>0</v>
      </c>
      <c r="Q315" s="679">
        <v>0</v>
      </c>
      <c r="R315" s="679">
        <v>0</v>
      </c>
      <c r="S315" s="679">
        <v>0</v>
      </c>
      <c r="T315" s="679">
        <v>0</v>
      </c>
      <c r="U315" s="679">
        <v>0</v>
      </c>
      <c r="V315" s="679">
        <v>0</v>
      </c>
      <c r="W315" s="679">
        <v>0</v>
      </c>
      <c r="X315" s="679">
        <v>0</v>
      </c>
      <c r="Y315" s="679">
        <v>0</v>
      </c>
      <c r="Z315" s="679">
        <v>0</v>
      </c>
      <c r="AA315" s="679">
        <v>0</v>
      </c>
      <c r="AB315" s="679">
        <v>0</v>
      </c>
      <c r="AC315" s="679">
        <v>0</v>
      </c>
      <c r="AD315" s="679">
        <v>0</v>
      </c>
      <c r="AE315" s="679">
        <v>0</v>
      </c>
      <c r="AF315" s="679">
        <v>0</v>
      </c>
      <c r="AG315" s="679">
        <v>0</v>
      </c>
      <c r="AH315" s="679">
        <v>0</v>
      </c>
      <c r="AI315" s="679">
        <v>0</v>
      </c>
      <c r="AJ315" s="679">
        <v>0</v>
      </c>
      <c r="AK315" s="697">
        <f>SUM(F315:AJ315)/LEFT(Summary!$D$3,2)</f>
        <v>0</v>
      </c>
    </row>
    <row r="316" spans="2:37" ht="15.75" hidden="1" customHeight="1">
      <c r="B316" s="219"/>
      <c r="C316" s="1056" t="s">
        <v>217</v>
      </c>
      <c r="D316" s="680"/>
      <c r="E316" s="654" t="s">
        <v>207</v>
      </c>
      <c r="F316" s="675">
        <v>5</v>
      </c>
      <c r="G316" s="675">
        <v>7</v>
      </c>
      <c r="H316" s="675">
        <v>5</v>
      </c>
      <c r="I316" s="675">
        <v>7</v>
      </c>
      <c r="J316" s="675">
        <v>7</v>
      </c>
      <c r="K316" s="675">
        <v>7</v>
      </c>
      <c r="L316" s="675">
        <v>7</v>
      </c>
      <c r="M316" s="675">
        <v>7</v>
      </c>
      <c r="N316" s="675">
        <v>7</v>
      </c>
      <c r="O316" s="675">
        <v>6</v>
      </c>
      <c r="P316" s="675">
        <v>7</v>
      </c>
      <c r="Q316" s="675">
        <v>5</v>
      </c>
      <c r="R316" s="675">
        <v>7</v>
      </c>
      <c r="S316" s="675">
        <v>7</v>
      </c>
      <c r="T316" s="675">
        <v>6</v>
      </c>
      <c r="U316" s="675">
        <v>5</v>
      </c>
      <c r="V316" s="675">
        <v>6</v>
      </c>
      <c r="W316" s="675">
        <v>6</v>
      </c>
      <c r="X316" s="675">
        <v>6</v>
      </c>
      <c r="Y316" s="675">
        <v>6</v>
      </c>
      <c r="Z316" s="675">
        <v>8</v>
      </c>
      <c r="AA316" s="675">
        <v>7</v>
      </c>
      <c r="AB316" s="675">
        <v>8</v>
      </c>
      <c r="AC316" s="675">
        <v>7</v>
      </c>
      <c r="AD316" s="675">
        <v>7</v>
      </c>
      <c r="AE316" s="675">
        <v>3</v>
      </c>
      <c r="AF316" s="675">
        <v>5</v>
      </c>
      <c r="AG316" s="675">
        <v>5</v>
      </c>
      <c r="AH316" s="675">
        <v>7</v>
      </c>
      <c r="AI316" s="675">
        <v>6</v>
      </c>
      <c r="AJ316" s="675">
        <v>0</v>
      </c>
      <c r="AK316" s="699">
        <f>SUM(F316:AJ316)/LEFT(Summary!$D$3,2)</f>
        <v>27</v>
      </c>
    </row>
    <row r="317" spans="2:37" ht="15.75" hidden="1" customHeight="1">
      <c r="B317" s="219"/>
      <c r="C317" s="1057"/>
      <c r="D317" s="681"/>
      <c r="E317" s="657" t="s">
        <v>208</v>
      </c>
      <c r="F317" s="658">
        <v>25</v>
      </c>
      <c r="G317" s="658">
        <v>34</v>
      </c>
      <c r="H317" s="658">
        <v>25</v>
      </c>
      <c r="I317" s="658">
        <v>34</v>
      </c>
      <c r="J317" s="658">
        <v>34</v>
      </c>
      <c r="K317" s="658">
        <v>34</v>
      </c>
      <c r="L317" s="658">
        <v>34</v>
      </c>
      <c r="M317" s="658">
        <v>34</v>
      </c>
      <c r="N317" s="658">
        <v>34</v>
      </c>
      <c r="O317" s="658">
        <v>30</v>
      </c>
      <c r="P317" s="658">
        <v>34</v>
      </c>
      <c r="Q317" s="658">
        <v>27</v>
      </c>
      <c r="R317" s="658">
        <v>34</v>
      </c>
      <c r="S317" s="658">
        <v>34</v>
      </c>
      <c r="T317" s="658">
        <v>30</v>
      </c>
      <c r="U317" s="658">
        <v>25</v>
      </c>
      <c r="V317" s="658">
        <v>30</v>
      </c>
      <c r="W317" s="658">
        <v>30</v>
      </c>
      <c r="X317" s="658">
        <v>30</v>
      </c>
      <c r="Y317" s="658">
        <v>30</v>
      </c>
      <c r="Z317" s="658">
        <v>30</v>
      </c>
      <c r="AA317" s="658">
        <v>29</v>
      </c>
      <c r="AB317" s="658">
        <v>36</v>
      </c>
      <c r="AC317" s="658">
        <v>29</v>
      </c>
      <c r="AD317" s="658">
        <v>29</v>
      </c>
      <c r="AE317" s="658">
        <v>14</v>
      </c>
      <c r="AF317" s="658">
        <v>21</v>
      </c>
      <c r="AG317" s="658">
        <v>21</v>
      </c>
      <c r="AH317" s="658">
        <v>30</v>
      </c>
      <c r="AI317" s="658">
        <v>24</v>
      </c>
      <c r="AJ317" s="658">
        <v>0</v>
      </c>
      <c r="AK317" s="695">
        <f>SUM(F317:AJ317)/LEFT(Summary!$D$3,2)</f>
        <v>126.42857142857143</v>
      </c>
    </row>
    <row r="318" spans="2:37" ht="15.75" hidden="1" customHeight="1">
      <c r="B318" s="219"/>
      <c r="C318" s="1057"/>
      <c r="D318" s="681"/>
      <c r="E318" s="657" t="s">
        <v>209</v>
      </c>
      <c r="F318" s="658">
        <v>1</v>
      </c>
      <c r="G318" s="658">
        <v>1</v>
      </c>
      <c r="H318" s="658">
        <v>0</v>
      </c>
      <c r="I318" s="658">
        <v>2</v>
      </c>
      <c r="J318" s="658">
        <v>2</v>
      </c>
      <c r="K318" s="658">
        <v>2</v>
      </c>
      <c r="L318" s="658">
        <v>1</v>
      </c>
      <c r="M318" s="658">
        <v>2</v>
      </c>
      <c r="N318" s="658">
        <v>2</v>
      </c>
      <c r="O318" s="658">
        <v>2</v>
      </c>
      <c r="P318" s="658">
        <v>1</v>
      </c>
      <c r="Q318" s="658">
        <v>1</v>
      </c>
      <c r="R318" s="658">
        <v>2</v>
      </c>
      <c r="S318" s="658">
        <v>2</v>
      </c>
      <c r="T318" s="658">
        <v>2</v>
      </c>
      <c r="U318" s="658">
        <v>2</v>
      </c>
      <c r="V318" s="658">
        <v>1</v>
      </c>
      <c r="W318" s="658">
        <v>1</v>
      </c>
      <c r="X318" s="658">
        <v>2</v>
      </c>
      <c r="Y318" s="658">
        <v>1</v>
      </c>
      <c r="Z318" s="658">
        <v>1</v>
      </c>
      <c r="AA318" s="658">
        <v>1</v>
      </c>
      <c r="AB318" s="658">
        <v>1</v>
      </c>
      <c r="AC318" s="658">
        <v>1</v>
      </c>
      <c r="AD318" s="658">
        <v>1</v>
      </c>
      <c r="AE318" s="658">
        <v>1</v>
      </c>
      <c r="AF318" s="658">
        <v>1</v>
      </c>
      <c r="AG318" s="658">
        <v>1</v>
      </c>
      <c r="AH318" s="658">
        <v>1</v>
      </c>
      <c r="AI318" s="658">
        <v>2</v>
      </c>
      <c r="AJ318" s="658">
        <v>0</v>
      </c>
      <c r="AK318" s="695">
        <f>SUM(F318:AJ318)/LEFT(Summary!$D$3,2)</f>
        <v>5.8571428571428568</v>
      </c>
    </row>
    <row r="319" spans="2:37" ht="15.75" hidden="1" customHeight="1">
      <c r="B319" s="219"/>
      <c r="C319" s="1057"/>
      <c r="D319" s="681"/>
      <c r="E319" s="657" t="s">
        <v>210</v>
      </c>
      <c r="F319" s="658">
        <v>3</v>
      </c>
      <c r="G319" s="658">
        <v>15</v>
      </c>
      <c r="H319" s="658">
        <v>0</v>
      </c>
      <c r="I319" s="658">
        <v>17</v>
      </c>
      <c r="J319" s="658">
        <v>17</v>
      </c>
      <c r="K319" s="658">
        <v>17</v>
      </c>
      <c r="L319" s="658">
        <v>17</v>
      </c>
      <c r="M319" s="658">
        <v>15</v>
      </c>
      <c r="N319" s="658">
        <v>16</v>
      </c>
      <c r="O319" s="658">
        <v>15</v>
      </c>
      <c r="P319" s="658">
        <v>15</v>
      </c>
      <c r="Q319" s="658">
        <v>15</v>
      </c>
      <c r="R319" s="658">
        <v>17</v>
      </c>
      <c r="S319" s="658">
        <v>17</v>
      </c>
      <c r="T319" s="658">
        <v>16</v>
      </c>
      <c r="U319" s="658">
        <v>17</v>
      </c>
      <c r="V319" s="658">
        <v>17</v>
      </c>
      <c r="W319" s="658">
        <v>15</v>
      </c>
      <c r="X319" s="658">
        <v>15</v>
      </c>
      <c r="Y319" s="658">
        <v>15</v>
      </c>
      <c r="Z319" s="658">
        <v>17</v>
      </c>
      <c r="AA319" s="658">
        <v>15</v>
      </c>
      <c r="AB319" s="658">
        <v>16</v>
      </c>
      <c r="AC319" s="658">
        <v>14</v>
      </c>
      <c r="AD319" s="658">
        <v>16</v>
      </c>
      <c r="AE319" s="658">
        <v>11</v>
      </c>
      <c r="AF319" s="658">
        <v>15</v>
      </c>
      <c r="AG319" s="658">
        <v>15</v>
      </c>
      <c r="AH319" s="658">
        <v>14</v>
      </c>
      <c r="AI319" s="658">
        <v>14</v>
      </c>
      <c r="AJ319" s="658">
        <v>0</v>
      </c>
      <c r="AK319" s="695">
        <f>SUM(F319:AJ319)/LEFT(Summary!$D$3,2)</f>
        <v>62.571428571428569</v>
      </c>
    </row>
    <row r="320" spans="2:37" ht="15.75" hidden="1" customHeight="1">
      <c r="B320" s="219"/>
      <c r="C320" s="1057"/>
      <c r="D320" s="681"/>
      <c r="E320" s="657" t="s">
        <v>211</v>
      </c>
      <c r="F320" s="658">
        <v>5</v>
      </c>
      <c r="G320" s="658">
        <v>5</v>
      </c>
      <c r="H320" s="658">
        <v>5</v>
      </c>
      <c r="I320" s="658">
        <v>5</v>
      </c>
      <c r="J320" s="658">
        <v>5</v>
      </c>
      <c r="K320" s="658">
        <v>5</v>
      </c>
      <c r="L320" s="658">
        <v>5</v>
      </c>
      <c r="M320" s="658">
        <v>5</v>
      </c>
      <c r="N320" s="658">
        <v>5</v>
      </c>
      <c r="O320" s="658">
        <v>5</v>
      </c>
      <c r="P320" s="658">
        <v>5</v>
      </c>
      <c r="Q320" s="658">
        <v>5</v>
      </c>
      <c r="R320" s="658">
        <v>5</v>
      </c>
      <c r="S320" s="658">
        <v>5</v>
      </c>
      <c r="T320" s="658">
        <v>5</v>
      </c>
      <c r="U320" s="658">
        <v>5</v>
      </c>
      <c r="V320" s="658">
        <v>5</v>
      </c>
      <c r="W320" s="658">
        <v>5</v>
      </c>
      <c r="X320" s="658">
        <v>5</v>
      </c>
      <c r="Y320" s="658">
        <v>5</v>
      </c>
      <c r="Z320" s="658">
        <v>5</v>
      </c>
      <c r="AA320" s="658">
        <v>6</v>
      </c>
      <c r="AB320" s="658">
        <v>6</v>
      </c>
      <c r="AC320" s="658">
        <v>6</v>
      </c>
      <c r="AD320" s="658">
        <v>6</v>
      </c>
      <c r="AE320" s="658">
        <v>6</v>
      </c>
      <c r="AF320" s="658">
        <v>6</v>
      </c>
      <c r="AG320" s="658">
        <v>5</v>
      </c>
      <c r="AH320" s="658">
        <v>5</v>
      </c>
      <c r="AI320" s="658">
        <v>5</v>
      </c>
      <c r="AJ320" s="658">
        <v>0</v>
      </c>
      <c r="AK320" s="695">
        <f>SUM(F320:AJ320)/LEFT(Summary!$D$3,2)</f>
        <v>22.285714285714285</v>
      </c>
    </row>
    <row r="321" spans="2:37" ht="15.75" hidden="1" customHeight="1">
      <c r="B321" s="219"/>
      <c r="C321" s="1057"/>
      <c r="D321" s="681"/>
      <c r="E321" s="657" t="s">
        <v>212</v>
      </c>
      <c r="F321" s="658">
        <v>2</v>
      </c>
      <c r="G321" s="658">
        <v>2</v>
      </c>
      <c r="H321" s="658">
        <v>2</v>
      </c>
      <c r="I321" s="658">
        <v>2</v>
      </c>
      <c r="J321" s="658">
        <v>2</v>
      </c>
      <c r="K321" s="658">
        <v>2</v>
      </c>
      <c r="L321" s="658">
        <v>2</v>
      </c>
      <c r="M321" s="658">
        <v>2</v>
      </c>
      <c r="N321" s="658">
        <v>2</v>
      </c>
      <c r="O321" s="658">
        <v>2</v>
      </c>
      <c r="P321" s="658">
        <v>2</v>
      </c>
      <c r="Q321" s="658">
        <v>2</v>
      </c>
      <c r="R321" s="658">
        <v>2</v>
      </c>
      <c r="S321" s="658">
        <v>2</v>
      </c>
      <c r="T321" s="658">
        <v>2</v>
      </c>
      <c r="U321" s="658">
        <v>2</v>
      </c>
      <c r="V321" s="658">
        <v>2</v>
      </c>
      <c r="W321" s="658">
        <v>2</v>
      </c>
      <c r="X321" s="658">
        <v>2</v>
      </c>
      <c r="Y321" s="658">
        <v>2</v>
      </c>
      <c r="Z321" s="658">
        <v>3</v>
      </c>
      <c r="AA321" s="658">
        <v>3</v>
      </c>
      <c r="AB321" s="658">
        <v>3</v>
      </c>
      <c r="AC321" s="658">
        <v>3</v>
      </c>
      <c r="AD321" s="658">
        <v>3</v>
      </c>
      <c r="AE321" s="658">
        <v>3</v>
      </c>
      <c r="AF321" s="658">
        <v>3</v>
      </c>
      <c r="AG321" s="658">
        <v>3</v>
      </c>
      <c r="AH321" s="658">
        <v>3</v>
      </c>
      <c r="AI321" s="658">
        <v>3</v>
      </c>
      <c r="AJ321" s="658">
        <v>0</v>
      </c>
      <c r="AK321" s="695">
        <f>SUM(F321:AJ321)/LEFT(Summary!$D$3,2)</f>
        <v>10</v>
      </c>
    </row>
    <row r="322" spans="2:37" ht="15.75" hidden="1" customHeight="1">
      <c r="B322" s="219"/>
      <c r="C322" s="1058"/>
      <c r="D322" s="702"/>
      <c r="E322" s="660" t="s">
        <v>213</v>
      </c>
      <c r="F322" s="661">
        <v>1</v>
      </c>
      <c r="G322" s="661">
        <v>1</v>
      </c>
      <c r="H322" s="661">
        <v>1</v>
      </c>
      <c r="I322" s="661">
        <v>1</v>
      </c>
      <c r="J322" s="661">
        <v>1</v>
      </c>
      <c r="K322" s="661">
        <v>1</v>
      </c>
      <c r="L322" s="661">
        <v>1</v>
      </c>
      <c r="M322" s="661">
        <v>1</v>
      </c>
      <c r="N322" s="661">
        <v>1</v>
      </c>
      <c r="O322" s="661">
        <v>1</v>
      </c>
      <c r="P322" s="661">
        <v>1</v>
      </c>
      <c r="Q322" s="661">
        <v>1</v>
      </c>
      <c r="R322" s="661">
        <v>1</v>
      </c>
      <c r="S322" s="661">
        <v>1</v>
      </c>
      <c r="T322" s="661">
        <v>1</v>
      </c>
      <c r="U322" s="661">
        <v>1</v>
      </c>
      <c r="V322" s="661">
        <v>1</v>
      </c>
      <c r="W322" s="661">
        <v>1</v>
      </c>
      <c r="X322" s="661">
        <v>1</v>
      </c>
      <c r="Y322" s="661">
        <v>1</v>
      </c>
      <c r="Z322" s="661">
        <v>1</v>
      </c>
      <c r="AA322" s="661">
        <v>1</v>
      </c>
      <c r="AB322" s="661">
        <v>1</v>
      </c>
      <c r="AC322" s="661">
        <v>1</v>
      </c>
      <c r="AD322" s="661">
        <v>1</v>
      </c>
      <c r="AE322" s="661">
        <v>1</v>
      </c>
      <c r="AF322" s="661">
        <v>1</v>
      </c>
      <c r="AG322" s="661">
        <v>1</v>
      </c>
      <c r="AH322" s="661">
        <v>1</v>
      </c>
      <c r="AI322" s="661">
        <v>1</v>
      </c>
      <c r="AJ322" s="661">
        <v>0</v>
      </c>
      <c r="AK322" s="697">
        <f>SUM(F322:AJ322)/LEFT(Summary!$D$3,2)</f>
        <v>4.2857142857142856</v>
      </c>
    </row>
    <row r="323" spans="2:37" ht="15.75" hidden="1" customHeight="1">
      <c r="B323" s="219"/>
      <c r="C323" s="1059" t="s">
        <v>218</v>
      </c>
      <c r="D323" s="703"/>
      <c r="E323" s="664" t="s">
        <v>207</v>
      </c>
      <c r="F323" s="678">
        <v>5</v>
      </c>
      <c r="G323" s="678">
        <v>7</v>
      </c>
      <c r="H323" s="678">
        <v>7</v>
      </c>
      <c r="I323" s="678">
        <v>7</v>
      </c>
      <c r="J323" s="678">
        <v>7</v>
      </c>
      <c r="K323" s="678">
        <v>3</v>
      </c>
      <c r="L323" s="678">
        <v>7</v>
      </c>
      <c r="M323" s="678">
        <v>7</v>
      </c>
      <c r="N323" s="678">
        <v>6</v>
      </c>
      <c r="O323" s="678">
        <v>7</v>
      </c>
      <c r="P323" s="678">
        <v>7</v>
      </c>
      <c r="Q323" s="678">
        <v>7</v>
      </c>
      <c r="R323" s="678">
        <v>6</v>
      </c>
      <c r="S323" s="678">
        <v>6</v>
      </c>
      <c r="T323" s="678">
        <v>2</v>
      </c>
      <c r="U323" s="678">
        <v>7</v>
      </c>
      <c r="V323" s="678">
        <v>6</v>
      </c>
      <c r="W323" s="678">
        <v>6</v>
      </c>
      <c r="X323" s="678">
        <v>6</v>
      </c>
      <c r="Y323" s="678">
        <v>8</v>
      </c>
      <c r="Z323" s="678">
        <v>4</v>
      </c>
      <c r="AA323" s="678">
        <v>7</v>
      </c>
      <c r="AB323" s="678">
        <v>5</v>
      </c>
      <c r="AC323" s="678">
        <v>6</v>
      </c>
      <c r="AD323" s="678">
        <v>6</v>
      </c>
      <c r="AE323" s="678">
        <v>4</v>
      </c>
      <c r="AF323" s="678">
        <v>4</v>
      </c>
      <c r="AG323" s="678">
        <v>6</v>
      </c>
      <c r="AH323" s="678">
        <v>6</v>
      </c>
      <c r="AI323" s="678">
        <v>8</v>
      </c>
      <c r="AJ323" s="678">
        <v>0</v>
      </c>
      <c r="AK323" s="699">
        <f>SUM(F323:AJ323)/LEFT(Summary!$D$3,2)</f>
        <v>25.714285714285715</v>
      </c>
    </row>
    <row r="324" spans="2:37" ht="15.75" hidden="1" customHeight="1">
      <c r="B324" s="219"/>
      <c r="C324" s="1060"/>
      <c r="D324" s="704"/>
      <c r="E324" s="668" t="s">
        <v>208</v>
      </c>
      <c r="F324" s="669">
        <v>25</v>
      </c>
      <c r="G324" s="669">
        <v>34</v>
      </c>
      <c r="H324" s="669">
        <v>34</v>
      </c>
      <c r="I324" s="669">
        <v>34</v>
      </c>
      <c r="J324" s="669">
        <v>34</v>
      </c>
      <c r="K324" s="669">
        <v>13</v>
      </c>
      <c r="L324" s="669">
        <v>34</v>
      </c>
      <c r="M324" s="669">
        <v>34</v>
      </c>
      <c r="N324" s="669">
        <v>30</v>
      </c>
      <c r="O324" s="669">
        <v>34</v>
      </c>
      <c r="P324" s="669">
        <v>34</v>
      </c>
      <c r="Q324" s="669">
        <v>34</v>
      </c>
      <c r="R324" s="669">
        <v>30</v>
      </c>
      <c r="S324" s="669">
        <v>30</v>
      </c>
      <c r="T324" s="669">
        <v>10</v>
      </c>
      <c r="U324" s="669">
        <v>34</v>
      </c>
      <c r="V324" s="669">
        <v>30</v>
      </c>
      <c r="W324" s="669">
        <v>30</v>
      </c>
      <c r="X324" s="669">
        <v>30</v>
      </c>
      <c r="Y324" s="669">
        <v>35</v>
      </c>
      <c r="Z324" s="669">
        <v>17</v>
      </c>
      <c r="AA324" s="669">
        <v>29</v>
      </c>
      <c r="AB324" s="669">
        <v>22</v>
      </c>
      <c r="AC324" s="669">
        <v>25</v>
      </c>
      <c r="AD324" s="669">
        <v>26</v>
      </c>
      <c r="AE324" s="669">
        <v>26</v>
      </c>
      <c r="AF324" s="669">
        <v>17</v>
      </c>
      <c r="AG324" s="669">
        <v>26</v>
      </c>
      <c r="AH324" s="669">
        <v>26</v>
      </c>
      <c r="AI324" s="669">
        <v>35</v>
      </c>
      <c r="AJ324" s="669">
        <v>0</v>
      </c>
      <c r="AK324" s="695">
        <f>SUM(F324:AJ324)/LEFT(Summary!$D$3,2)</f>
        <v>121.71428571428571</v>
      </c>
    </row>
    <row r="325" spans="2:37" ht="15.75" hidden="1" customHeight="1">
      <c r="B325" s="219"/>
      <c r="C325" s="1060"/>
      <c r="D325" s="704"/>
      <c r="E325" s="668" t="s">
        <v>209</v>
      </c>
      <c r="F325" s="669">
        <v>1</v>
      </c>
      <c r="G325" s="669">
        <v>1</v>
      </c>
      <c r="H325" s="669">
        <v>2</v>
      </c>
      <c r="I325" s="669">
        <v>2</v>
      </c>
      <c r="J325" s="669">
        <v>1</v>
      </c>
      <c r="K325" s="669">
        <v>0</v>
      </c>
      <c r="L325" s="669">
        <v>1</v>
      </c>
      <c r="M325" s="669">
        <v>2</v>
      </c>
      <c r="N325" s="669">
        <v>2</v>
      </c>
      <c r="O325" s="669">
        <v>0</v>
      </c>
      <c r="P325" s="669">
        <v>1</v>
      </c>
      <c r="Q325" s="669">
        <v>1</v>
      </c>
      <c r="R325" s="669">
        <v>1</v>
      </c>
      <c r="S325" s="669">
        <v>1</v>
      </c>
      <c r="T325" s="669">
        <v>1</v>
      </c>
      <c r="U325" s="669">
        <v>1</v>
      </c>
      <c r="V325" s="669">
        <v>1</v>
      </c>
      <c r="W325" s="669">
        <v>2</v>
      </c>
      <c r="X325" s="669">
        <v>1</v>
      </c>
      <c r="Y325" s="669">
        <v>1</v>
      </c>
      <c r="Z325" s="669">
        <v>0</v>
      </c>
      <c r="AA325" s="669">
        <v>1</v>
      </c>
      <c r="AB325" s="669">
        <v>1</v>
      </c>
      <c r="AC325" s="669">
        <v>1</v>
      </c>
      <c r="AD325" s="669">
        <v>1</v>
      </c>
      <c r="AE325" s="669">
        <v>1</v>
      </c>
      <c r="AF325" s="669">
        <v>1</v>
      </c>
      <c r="AG325" s="669">
        <v>1</v>
      </c>
      <c r="AH325" s="669">
        <v>2</v>
      </c>
      <c r="AI325" s="669">
        <v>2</v>
      </c>
      <c r="AJ325" s="669">
        <v>0</v>
      </c>
      <c r="AK325" s="695">
        <f>SUM(F325:AJ325)/LEFT(Summary!$D$3,2)</f>
        <v>4.8571428571428568</v>
      </c>
    </row>
    <row r="326" spans="2:37" ht="15.75" hidden="1" customHeight="1">
      <c r="B326" s="219"/>
      <c r="C326" s="1060"/>
      <c r="D326" s="704"/>
      <c r="E326" s="668" t="s">
        <v>210</v>
      </c>
      <c r="F326" s="669">
        <v>12</v>
      </c>
      <c r="G326" s="669">
        <v>14</v>
      </c>
      <c r="H326" s="669">
        <v>15</v>
      </c>
      <c r="I326" s="669">
        <v>17</v>
      </c>
      <c r="J326" s="669">
        <v>9</v>
      </c>
      <c r="K326" s="669">
        <v>0</v>
      </c>
      <c r="L326" s="669">
        <v>4</v>
      </c>
      <c r="M326" s="669">
        <v>15</v>
      </c>
      <c r="N326" s="669">
        <v>17</v>
      </c>
      <c r="O326" s="669">
        <v>0</v>
      </c>
      <c r="P326" s="669">
        <v>15</v>
      </c>
      <c r="Q326" s="669">
        <v>15</v>
      </c>
      <c r="R326" s="669">
        <v>17</v>
      </c>
      <c r="S326" s="669">
        <v>17</v>
      </c>
      <c r="T326" s="669">
        <v>6</v>
      </c>
      <c r="U326" s="669">
        <v>17</v>
      </c>
      <c r="V326" s="669">
        <v>14</v>
      </c>
      <c r="W326" s="669">
        <v>15</v>
      </c>
      <c r="X326" s="669">
        <v>16</v>
      </c>
      <c r="Y326" s="669">
        <v>17</v>
      </c>
      <c r="Z326" s="669">
        <v>0</v>
      </c>
      <c r="AA326" s="669">
        <v>16</v>
      </c>
      <c r="AB326" s="669">
        <v>15</v>
      </c>
      <c r="AC326" s="669">
        <v>15</v>
      </c>
      <c r="AD326" s="669">
        <v>16</v>
      </c>
      <c r="AE326" s="669">
        <v>15</v>
      </c>
      <c r="AF326" s="669">
        <v>16</v>
      </c>
      <c r="AG326" s="669">
        <v>15</v>
      </c>
      <c r="AH326" s="669">
        <v>18</v>
      </c>
      <c r="AI326" s="669">
        <v>17</v>
      </c>
      <c r="AJ326" s="669">
        <v>0</v>
      </c>
      <c r="AK326" s="695">
        <f>SUM(F326:AJ326)/LEFT(Summary!$D$3,2)</f>
        <v>56.428571428571431</v>
      </c>
    </row>
    <row r="327" spans="2:37" ht="15.75" hidden="1" customHeight="1">
      <c r="B327" s="219"/>
      <c r="C327" s="1060"/>
      <c r="D327" s="704"/>
      <c r="E327" s="668" t="s">
        <v>211</v>
      </c>
      <c r="F327" s="669">
        <v>5</v>
      </c>
      <c r="G327" s="669">
        <v>5</v>
      </c>
      <c r="H327" s="669">
        <v>5</v>
      </c>
      <c r="I327" s="669">
        <v>5</v>
      </c>
      <c r="J327" s="669">
        <v>5</v>
      </c>
      <c r="K327" s="669">
        <v>5</v>
      </c>
      <c r="L327" s="669">
        <v>5</v>
      </c>
      <c r="M327" s="669">
        <v>5</v>
      </c>
      <c r="N327" s="669">
        <v>5</v>
      </c>
      <c r="O327" s="669">
        <v>5</v>
      </c>
      <c r="P327" s="669">
        <v>5</v>
      </c>
      <c r="Q327" s="669">
        <v>5</v>
      </c>
      <c r="R327" s="669">
        <v>5</v>
      </c>
      <c r="S327" s="669">
        <v>5</v>
      </c>
      <c r="T327" s="669">
        <v>5</v>
      </c>
      <c r="U327" s="669">
        <v>5</v>
      </c>
      <c r="V327" s="669">
        <v>5</v>
      </c>
      <c r="W327" s="669">
        <v>5</v>
      </c>
      <c r="X327" s="669">
        <v>5</v>
      </c>
      <c r="Y327" s="669">
        <v>5</v>
      </c>
      <c r="Z327" s="669">
        <v>5</v>
      </c>
      <c r="AA327" s="669">
        <v>6</v>
      </c>
      <c r="AB327" s="669">
        <v>6</v>
      </c>
      <c r="AC327" s="669">
        <v>6</v>
      </c>
      <c r="AD327" s="669">
        <v>6</v>
      </c>
      <c r="AE327" s="669">
        <v>6</v>
      </c>
      <c r="AF327" s="669">
        <v>6</v>
      </c>
      <c r="AG327" s="669">
        <v>5</v>
      </c>
      <c r="AH327" s="669">
        <v>5</v>
      </c>
      <c r="AI327" s="669">
        <v>5</v>
      </c>
      <c r="AJ327" s="669">
        <v>0</v>
      </c>
      <c r="AK327" s="695">
        <f>SUM(F327:AJ327)/LEFT(Summary!$D$3,2)</f>
        <v>22.285714285714285</v>
      </c>
    </row>
    <row r="328" spans="2:37" ht="15.75" hidden="1" customHeight="1">
      <c r="B328" s="219"/>
      <c r="C328" s="1060"/>
      <c r="D328" s="704"/>
      <c r="E328" s="668" t="s">
        <v>212</v>
      </c>
      <c r="F328" s="669">
        <v>2</v>
      </c>
      <c r="G328" s="669">
        <v>2</v>
      </c>
      <c r="H328" s="669">
        <v>2</v>
      </c>
      <c r="I328" s="669">
        <v>2</v>
      </c>
      <c r="J328" s="669">
        <v>2</v>
      </c>
      <c r="K328" s="669">
        <v>2</v>
      </c>
      <c r="L328" s="669">
        <v>2</v>
      </c>
      <c r="M328" s="669">
        <v>2</v>
      </c>
      <c r="N328" s="669">
        <v>2</v>
      </c>
      <c r="O328" s="669">
        <v>2</v>
      </c>
      <c r="P328" s="669">
        <v>2</v>
      </c>
      <c r="Q328" s="669">
        <v>2</v>
      </c>
      <c r="R328" s="669">
        <v>2</v>
      </c>
      <c r="S328" s="669">
        <v>2</v>
      </c>
      <c r="T328" s="669">
        <v>2</v>
      </c>
      <c r="U328" s="669">
        <v>2</v>
      </c>
      <c r="V328" s="669">
        <v>2</v>
      </c>
      <c r="W328" s="669">
        <v>2</v>
      </c>
      <c r="X328" s="669">
        <v>2</v>
      </c>
      <c r="Y328" s="669">
        <v>2</v>
      </c>
      <c r="Z328" s="669">
        <v>3</v>
      </c>
      <c r="AA328" s="669">
        <v>3</v>
      </c>
      <c r="AB328" s="669">
        <v>3</v>
      </c>
      <c r="AC328" s="669">
        <v>3</v>
      </c>
      <c r="AD328" s="669">
        <v>3</v>
      </c>
      <c r="AE328" s="669">
        <v>3</v>
      </c>
      <c r="AF328" s="669">
        <v>3</v>
      </c>
      <c r="AG328" s="669">
        <v>3</v>
      </c>
      <c r="AH328" s="669">
        <v>3</v>
      </c>
      <c r="AI328" s="669">
        <v>3</v>
      </c>
      <c r="AJ328" s="669">
        <v>0</v>
      </c>
      <c r="AK328" s="695">
        <f>SUM(F328:AJ328)/LEFT(Summary!$D$3,2)</f>
        <v>10</v>
      </c>
    </row>
    <row r="329" spans="2:37" ht="15.75" hidden="1" customHeight="1">
      <c r="B329" s="219"/>
      <c r="C329" s="1061"/>
      <c r="D329" s="705"/>
      <c r="E329" s="672" t="s">
        <v>213</v>
      </c>
      <c r="F329" s="673">
        <v>1</v>
      </c>
      <c r="G329" s="673">
        <v>1</v>
      </c>
      <c r="H329" s="673">
        <v>1</v>
      </c>
      <c r="I329" s="673">
        <v>1</v>
      </c>
      <c r="J329" s="673">
        <v>1</v>
      </c>
      <c r="K329" s="673">
        <v>1</v>
      </c>
      <c r="L329" s="673">
        <v>1</v>
      </c>
      <c r="M329" s="673">
        <v>1</v>
      </c>
      <c r="N329" s="673">
        <v>1</v>
      </c>
      <c r="O329" s="673">
        <v>1</v>
      </c>
      <c r="P329" s="673">
        <v>1</v>
      </c>
      <c r="Q329" s="673">
        <v>1</v>
      </c>
      <c r="R329" s="673">
        <v>1</v>
      </c>
      <c r="S329" s="673">
        <v>1</v>
      </c>
      <c r="T329" s="673">
        <v>1</v>
      </c>
      <c r="U329" s="673">
        <v>1</v>
      </c>
      <c r="V329" s="673">
        <v>1</v>
      </c>
      <c r="W329" s="673">
        <v>1</v>
      </c>
      <c r="X329" s="673">
        <v>1</v>
      </c>
      <c r="Y329" s="673">
        <v>1</v>
      </c>
      <c r="Z329" s="673">
        <v>1</v>
      </c>
      <c r="AA329" s="673">
        <v>1</v>
      </c>
      <c r="AB329" s="673">
        <v>1</v>
      </c>
      <c r="AC329" s="673">
        <v>1</v>
      </c>
      <c r="AD329" s="673">
        <v>1</v>
      </c>
      <c r="AE329" s="673">
        <v>1</v>
      </c>
      <c r="AF329" s="673">
        <v>1</v>
      </c>
      <c r="AG329" s="673">
        <v>1</v>
      </c>
      <c r="AH329" s="673">
        <v>1</v>
      </c>
      <c r="AI329" s="673">
        <v>1</v>
      </c>
      <c r="AJ329" s="673">
        <v>0</v>
      </c>
      <c r="AK329" s="697">
        <f>SUM(F329:AJ329)/LEFT(Summary!$D$3,2)</f>
        <v>4.2857142857142856</v>
      </c>
    </row>
    <row r="330" spans="2:37" ht="15.75" hidden="1" customHeight="1">
      <c r="B330" s="219"/>
      <c r="C330" s="1056" t="s">
        <v>219</v>
      </c>
      <c r="D330" s="680"/>
      <c r="E330" s="654" t="s">
        <v>207</v>
      </c>
      <c r="F330" s="706">
        <v>0</v>
      </c>
      <c r="G330" s="707">
        <v>0</v>
      </c>
      <c r="H330" s="707">
        <v>0</v>
      </c>
      <c r="I330" s="707">
        <v>0</v>
      </c>
      <c r="J330" s="707">
        <v>0</v>
      </c>
      <c r="K330" s="707">
        <v>0</v>
      </c>
      <c r="L330" s="707">
        <v>0</v>
      </c>
      <c r="M330" s="707">
        <v>0</v>
      </c>
      <c r="N330" s="707">
        <v>0</v>
      </c>
      <c r="O330" s="707">
        <v>0</v>
      </c>
      <c r="P330" s="707">
        <v>0</v>
      </c>
      <c r="Q330" s="707">
        <v>0</v>
      </c>
      <c r="R330" s="707">
        <v>0</v>
      </c>
      <c r="S330" s="707">
        <v>0</v>
      </c>
      <c r="T330" s="707">
        <v>0</v>
      </c>
      <c r="U330" s="707">
        <v>0</v>
      </c>
      <c r="V330" s="707">
        <v>0</v>
      </c>
      <c r="W330" s="707">
        <v>0</v>
      </c>
      <c r="X330" s="707">
        <v>0</v>
      </c>
      <c r="Y330" s="707">
        <v>0</v>
      </c>
      <c r="Z330" s="707">
        <v>0</v>
      </c>
      <c r="AA330" s="707">
        <v>0</v>
      </c>
      <c r="AB330" s="707">
        <v>0</v>
      </c>
      <c r="AC330" s="707">
        <v>0</v>
      </c>
      <c r="AD330" s="707">
        <v>0</v>
      </c>
      <c r="AE330" s="707">
        <v>0</v>
      </c>
      <c r="AF330" s="707">
        <v>0</v>
      </c>
      <c r="AG330" s="707">
        <v>0</v>
      </c>
      <c r="AH330" s="707">
        <v>0</v>
      </c>
      <c r="AI330" s="707">
        <v>0</v>
      </c>
      <c r="AJ330" s="735">
        <v>0</v>
      </c>
      <c r="AK330" s="699">
        <f t="shared" ref="AK330:AK343" si="112">AVERAGE(F330:AJ330)</f>
        <v>0</v>
      </c>
    </row>
    <row r="331" spans="2:37" ht="15.75" hidden="1" customHeight="1">
      <c r="B331" s="219"/>
      <c r="C331" s="1057"/>
      <c r="D331" s="681"/>
      <c r="E331" s="657" t="s">
        <v>208</v>
      </c>
      <c r="F331" s="658">
        <v>0</v>
      </c>
      <c r="G331" s="659">
        <v>0</v>
      </c>
      <c r="H331" s="659">
        <v>0</v>
      </c>
      <c r="I331" s="659">
        <v>0</v>
      </c>
      <c r="J331" s="659">
        <v>0</v>
      </c>
      <c r="K331" s="659">
        <v>0</v>
      </c>
      <c r="L331" s="659">
        <v>0</v>
      </c>
      <c r="M331" s="659">
        <v>0</v>
      </c>
      <c r="N331" s="659">
        <v>0</v>
      </c>
      <c r="O331" s="659">
        <v>0</v>
      </c>
      <c r="P331" s="659">
        <v>0</v>
      </c>
      <c r="Q331" s="659">
        <v>0</v>
      </c>
      <c r="R331" s="659">
        <v>0</v>
      </c>
      <c r="S331" s="659">
        <v>0</v>
      </c>
      <c r="T331" s="659">
        <v>0</v>
      </c>
      <c r="U331" s="659">
        <v>0</v>
      </c>
      <c r="V331" s="659">
        <v>0</v>
      </c>
      <c r="W331" s="659">
        <v>0</v>
      </c>
      <c r="X331" s="659">
        <v>0</v>
      </c>
      <c r="Y331" s="659">
        <v>0</v>
      </c>
      <c r="Z331" s="659">
        <v>0</v>
      </c>
      <c r="AA331" s="659">
        <v>0</v>
      </c>
      <c r="AB331" s="659">
        <v>0</v>
      </c>
      <c r="AC331" s="659">
        <v>0</v>
      </c>
      <c r="AD331" s="659">
        <v>0</v>
      </c>
      <c r="AE331" s="659">
        <v>0</v>
      </c>
      <c r="AF331" s="659">
        <v>0</v>
      </c>
      <c r="AG331" s="659">
        <v>0</v>
      </c>
      <c r="AH331" s="659">
        <v>0</v>
      </c>
      <c r="AI331" s="659">
        <v>0</v>
      </c>
      <c r="AJ331" s="694">
        <v>0</v>
      </c>
      <c r="AK331" s="695">
        <f t="shared" si="112"/>
        <v>0</v>
      </c>
    </row>
    <row r="332" spans="2:37" ht="15.75" hidden="1" customHeight="1">
      <c r="B332" s="219"/>
      <c r="C332" s="1057"/>
      <c r="D332" s="681"/>
      <c r="E332" s="657" t="s">
        <v>209</v>
      </c>
      <c r="F332" s="658">
        <v>0</v>
      </c>
      <c r="G332" s="659">
        <v>0</v>
      </c>
      <c r="H332" s="659">
        <v>0</v>
      </c>
      <c r="I332" s="659">
        <v>0</v>
      </c>
      <c r="J332" s="659">
        <v>0</v>
      </c>
      <c r="K332" s="659">
        <v>0</v>
      </c>
      <c r="L332" s="659">
        <v>0</v>
      </c>
      <c r="M332" s="659">
        <v>0</v>
      </c>
      <c r="N332" s="659">
        <v>0</v>
      </c>
      <c r="O332" s="659">
        <v>0</v>
      </c>
      <c r="P332" s="659">
        <v>0</v>
      </c>
      <c r="Q332" s="659">
        <v>0</v>
      </c>
      <c r="R332" s="659">
        <v>0</v>
      </c>
      <c r="S332" s="659">
        <v>0</v>
      </c>
      <c r="T332" s="659">
        <v>0</v>
      </c>
      <c r="U332" s="659">
        <v>0</v>
      </c>
      <c r="V332" s="659">
        <v>0</v>
      </c>
      <c r="W332" s="659">
        <v>0</v>
      </c>
      <c r="X332" s="659">
        <v>0</v>
      </c>
      <c r="Y332" s="659">
        <v>0</v>
      </c>
      <c r="Z332" s="659">
        <v>0</v>
      </c>
      <c r="AA332" s="659">
        <v>0</v>
      </c>
      <c r="AB332" s="659">
        <v>0</v>
      </c>
      <c r="AC332" s="659">
        <v>0</v>
      </c>
      <c r="AD332" s="659">
        <v>0</v>
      </c>
      <c r="AE332" s="659">
        <v>0</v>
      </c>
      <c r="AF332" s="659">
        <v>0</v>
      </c>
      <c r="AG332" s="659">
        <v>0</v>
      </c>
      <c r="AH332" s="659">
        <v>0</v>
      </c>
      <c r="AI332" s="659">
        <v>0</v>
      </c>
      <c r="AJ332" s="694">
        <v>0</v>
      </c>
      <c r="AK332" s="695">
        <f t="shared" si="112"/>
        <v>0</v>
      </c>
    </row>
    <row r="333" spans="2:37" ht="15.75" hidden="1" customHeight="1">
      <c r="B333" s="219"/>
      <c r="C333" s="1057"/>
      <c r="D333" s="681"/>
      <c r="E333" s="657" t="s">
        <v>210</v>
      </c>
      <c r="F333" s="658">
        <v>0</v>
      </c>
      <c r="G333" s="659">
        <v>0</v>
      </c>
      <c r="H333" s="659">
        <v>0</v>
      </c>
      <c r="I333" s="659">
        <v>0</v>
      </c>
      <c r="J333" s="659">
        <v>0</v>
      </c>
      <c r="K333" s="659">
        <v>0</v>
      </c>
      <c r="L333" s="659">
        <v>0</v>
      </c>
      <c r="M333" s="659">
        <v>0</v>
      </c>
      <c r="N333" s="659">
        <v>0</v>
      </c>
      <c r="O333" s="659">
        <v>0</v>
      </c>
      <c r="P333" s="659">
        <v>0</v>
      </c>
      <c r="Q333" s="659">
        <v>0</v>
      </c>
      <c r="R333" s="659">
        <v>0</v>
      </c>
      <c r="S333" s="659">
        <v>0</v>
      </c>
      <c r="T333" s="659">
        <v>0</v>
      </c>
      <c r="U333" s="659">
        <v>0</v>
      </c>
      <c r="V333" s="659">
        <v>0</v>
      </c>
      <c r="W333" s="659">
        <v>0</v>
      </c>
      <c r="X333" s="659">
        <v>0</v>
      </c>
      <c r="Y333" s="659">
        <v>0</v>
      </c>
      <c r="Z333" s="659">
        <v>0</v>
      </c>
      <c r="AA333" s="659">
        <v>0</v>
      </c>
      <c r="AB333" s="659">
        <v>0</v>
      </c>
      <c r="AC333" s="659">
        <v>0</v>
      </c>
      <c r="AD333" s="659">
        <v>0</v>
      </c>
      <c r="AE333" s="659">
        <v>0</v>
      </c>
      <c r="AF333" s="659">
        <v>0</v>
      </c>
      <c r="AG333" s="659">
        <v>0</v>
      </c>
      <c r="AH333" s="659">
        <v>0</v>
      </c>
      <c r="AI333" s="659">
        <v>0</v>
      </c>
      <c r="AJ333" s="694">
        <v>0</v>
      </c>
      <c r="AK333" s="695">
        <f t="shared" si="112"/>
        <v>0</v>
      </c>
    </row>
    <row r="334" spans="2:37" ht="15.75" hidden="1" customHeight="1">
      <c r="B334" s="219"/>
      <c r="C334" s="1057"/>
      <c r="D334" s="681"/>
      <c r="E334" s="657" t="s">
        <v>211</v>
      </c>
      <c r="F334" s="658">
        <v>0</v>
      </c>
      <c r="G334" s="659">
        <v>0</v>
      </c>
      <c r="H334" s="659">
        <v>0</v>
      </c>
      <c r="I334" s="659">
        <v>0</v>
      </c>
      <c r="J334" s="659">
        <v>0</v>
      </c>
      <c r="K334" s="659">
        <v>0</v>
      </c>
      <c r="L334" s="659">
        <v>0</v>
      </c>
      <c r="M334" s="659">
        <v>0</v>
      </c>
      <c r="N334" s="659">
        <v>0</v>
      </c>
      <c r="O334" s="659">
        <v>0</v>
      </c>
      <c r="P334" s="659">
        <v>0</v>
      </c>
      <c r="Q334" s="659">
        <v>0</v>
      </c>
      <c r="R334" s="659">
        <v>0</v>
      </c>
      <c r="S334" s="659">
        <v>0</v>
      </c>
      <c r="T334" s="659">
        <v>0</v>
      </c>
      <c r="U334" s="659">
        <v>0</v>
      </c>
      <c r="V334" s="659">
        <v>0</v>
      </c>
      <c r="W334" s="659">
        <v>0</v>
      </c>
      <c r="X334" s="659">
        <v>0</v>
      </c>
      <c r="Y334" s="659">
        <v>0</v>
      </c>
      <c r="Z334" s="659">
        <v>0</v>
      </c>
      <c r="AA334" s="659">
        <v>0</v>
      </c>
      <c r="AB334" s="659">
        <v>0</v>
      </c>
      <c r="AC334" s="659">
        <v>0</v>
      </c>
      <c r="AD334" s="659">
        <v>0</v>
      </c>
      <c r="AE334" s="659">
        <v>0</v>
      </c>
      <c r="AF334" s="659">
        <v>0</v>
      </c>
      <c r="AG334" s="659">
        <v>0</v>
      </c>
      <c r="AH334" s="659">
        <v>0</v>
      </c>
      <c r="AI334" s="659">
        <v>0</v>
      </c>
      <c r="AJ334" s="694">
        <v>0</v>
      </c>
      <c r="AK334" s="695">
        <f t="shared" si="112"/>
        <v>0</v>
      </c>
    </row>
    <row r="335" spans="2:37" ht="15.75" hidden="1" customHeight="1">
      <c r="B335" s="219"/>
      <c r="C335" s="1057"/>
      <c r="D335" s="681"/>
      <c r="E335" s="657" t="s">
        <v>212</v>
      </c>
      <c r="F335" s="658">
        <v>0</v>
      </c>
      <c r="G335" s="659">
        <v>0</v>
      </c>
      <c r="H335" s="659">
        <v>0</v>
      </c>
      <c r="I335" s="659">
        <v>0</v>
      </c>
      <c r="J335" s="659">
        <v>0</v>
      </c>
      <c r="K335" s="659">
        <v>0</v>
      </c>
      <c r="L335" s="659">
        <v>0</v>
      </c>
      <c r="M335" s="659">
        <v>0</v>
      </c>
      <c r="N335" s="659">
        <v>0</v>
      </c>
      <c r="O335" s="659">
        <v>0</v>
      </c>
      <c r="P335" s="659">
        <v>0</v>
      </c>
      <c r="Q335" s="659">
        <v>0</v>
      </c>
      <c r="R335" s="659">
        <v>0</v>
      </c>
      <c r="S335" s="659">
        <v>0</v>
      </c>
      <c r="T335" s="659">
        <v>0</v>
      </c>
      <c r="U335" s="659">
        <v>0</v>
      </c>
      <c r="V335" s="659">
        <v>0</v>
      </c>
      <c r="W335" s="659">
        <v>0</v>
      </c>
      <c r="X335" s="659">
        <v>0</v>
      </c>
      <c r="Y335" s="659">
        <v>0</v>
      </c>
      <c r="Z335" s="659">
        <v>0</v>
      </c>
      <c r="AA335" s="659">
        <v>0</v>
      </c>
      <c r="AB335" s="659">
        <v>0</v>
      </c>
      <c r="AC335" s="659">
        <v>0</v>
      </c>
      <c r="AD335" s="659">
        <v>0</v>
      </c>
      <c r="AE335" s="659">
        <v>0</v>
      </c>
      <c r="AF335" s="659">
        <v>0</v>
      </c>
      <c r="AG335" s="659">
        <v>0</v>
      </c>
      <c r="AH335" s="659">
        <v>0</v>
      </c>
      <c r="AI335" s="659">
        <v>0</v>
      </c>
      <c r="AJ335" s="694">
        <v>0</v>
      </c>
      <c r="AK335" s="695">
        <f t="shared" si="112"/>
        <v>0</v>
      </c>
    </row>
    <row r="336" spans="2:37" ht="15.75" hidden="1" customHeight="1">
      <c r="B336" s="219"/>
      <c r="C336" s="1058"/>
      <c r="D336" s="702"/>
      <c r="E336" s="660" t="s">
        <v>213</v>
      </c>
      <c r="F336" s="661">
        <v>0</v>
      </c>
      <c r="G336" s="662">
        <v>0</v>
      </c>
      <c r="H336" s="662">
        <v>0</v>
      </c>
      <c r="I336" s="662">
        <v>0</v>
      </c>
      <c r="J336" s="662">
        <v>0</v>
      </c>
      <c r="K336" s="662">
        <v>0</v>
      </c>
      <c r="L336" s="662">
        <v>0</v>
      </c>
      <c r="M336" s="662">
        <v>0</v>
      </c>
      <c r="N336" s="662">
        <v>0</v>
      </c>
      <c r="O336" s="662">
        <v>0</v>
      </c>
      <c r="P336" s="662">
        <v>0</v>
      </c>
      <c r="Q336" s="662">
        <v>0</v>
      </c>
      <c r="R336" s="662">
        <v>0</v>
      </c>
      <c r="S336" s="662">
        <v>0</v>
      </c>
      <c r="T336" s="662">
        <v>0</v>
      </c>
      <c r="U336" s="662">
        <v>0</v>
      </c>
      <c r="V336" s="662">
        <v>0</v>
      </c>
      <c r="W336" s="662">
        <v>0</v>
      </c>
      <c r="X336" s="662">
        <v>0</v>
      </c>
      <c r="Y336" s="662">
        <v>0</v>
      </c>
      <c r="Z336" s="662">
        <v>0</v>
      </c>
      <c r="AA336" s="662">
        <v>0</v>
      </c>
      <c r="AB336" s="662">
        <v>0</v>
      </c>
      <c r="AC336" s="662">
        <v>0</v>
      </c>
      <c r="AD336" s="662">
        <v>0</v>
      </c>
      <c r="AE336" s="662">
        <v>0</v>
      </c>
      <c r="AF336" s="662">
        <v>0</v>
      </c>
      <c r="AG336" s="662">
        <v>0</v>
      </c>
      <c r="AH336" s="662">
        <v>0</v>
      </c>
      <c r="AI336" s="662">
        <v>0</v>
      </c>
      <c r="AJ336" s="736">
        <v>0</v>
      </c>
      <c r="AK336" s="697">
        <f t="shared" si="112"/>
        <v>0</v>
      </c>
    </row>
    <row r="337" spans="2:37" ht="15.75" hidden="1" customHeight="1">
      <c r="B337" s="219"/>
      <c r="C337" s="1059" t="s">
        <v>220</v>
      </c>
      <c r="D337" s="703"/>
      <c r="E337" s="664" t="s">
        <v>207</v>
      </c>
      <c r="F337" s="678">
        <v>0</v>
      </c>
      <c r="G337" s="708">
        <v>0</v>
      </c>
      <c r="H337" s="708">
        <v>0</v>
      </c>
      <c r="I337" s="708">
        <v>0</v>
      </c>
      <c r="J337" s="708">
        <v>0</v>
      </c>
      <c r="K337" s="708">
        <v>0</v>
      </c>
      <c r="L337" s="708">
        <v>0</v>
      </c>
      <c r="M337" s="708">
        <v>0</v>
      </c>
      <c r="N337" s="708">
        <v>0</v>
      </c>
      <c r="O337" s="708">
        <v>0</v>
      </c>
      <c r="P337" s="708">
        <v>0</v>
      </c>
      <c r="Q337" s="708">
        <v>0</v>
      </c>
      <c r="R337" s="708">
        <v>0</v>
      </c>
      <c r="S337" s="708">
        <v>0</v>
      </c>
      <c r="T337" s="708">
        <v>0</v>
      </c>
      <c r="U337" s="708">
        <v>0</v>
      </c>
      <c r="V337" s="708">
        <v>0</v>
      </c>
      <c r="W337" s="708">
        <v>0</v>
      </c>
      <c r="X337" s="708">
        <v>0</v>
      </c>
      <c r="Y337" s="708">
        <v>0</v>
      </c>
      <c r="Z337" s="708">
        <v>0</v>
      </c>
      <c r="AA337" s="708">
        <v>0</v>
      </c>
      <c r="AB337" s="708">
        <v>0</v>
      </c>
      <c r="AC337" s="708">
        <v>0</v>
      </c>
      <c r="AD337" s="708">
        <v>0</v>
      </c>
      <c r="AE337" s="708">
        <v>0</v>
      </c>
      <c r="AF337" s="708">
        <v>0</v>
      </c>
      <c r="AG337" s="708">
        <v>0</v>
      </c>
      <c r="AH337" s="708">
        <v>0</v>
      </c>
      <c r="AI337" s="708">
        <v>0</v>
      </c>
      <c r="AJ337" s="737">
        <v>0</v>
      </c>
      <c r="AK337" s="699">
        <f t="shared" si="112"/>
        <v>0</v>
      </c>
    </row>
    <row r="338" spans="2:37" ht="15.75" hidden="1" customHeight="1">
      <c r="B338" s="219"/>
      <c r="C338" s="1060"/>
      <c r="D338" s="704"/>
      <c r="E338" s="668" t="s">
        <v>208</v>
      </c>
      <c r="F338" s="669">
        <v>0</v>
      </c>
      <c r="G338" s="670">
        <v>0</v>
      </c>
      <c r="H338" s="670">
        <v>0</v>
      </c>
      <c r="I338" s="670">
        <v>0</v>
      </c>
      <c r="J338" s="670">
        <v>0</v>
      </c>
      <c r="K338" s="670">
        <v>0</v>
      </c>
      <c r="L338" s="670">
        <v>0</v>
      </c>
      <c r="M338" s="670">
        <v>0</v>
      </c>
      <c r="N338" s="670">
        <v>0</v>
      </c>
      <c r="O338" s="670">
        <v>0</v>
      </c>
      <c r="P338" s="670">
        <v>0</v>
      </c>
      <c r="Q338" s="670">
        <v>0</v>
      </c>
      <c r="R338" s="670">
        <v>0</v>
      </c>
      <c r="S338" s="670">
        <v>0</v>
      </c>
      <c r="T338" s="670">
        <v>0</v>
      </c>
      <c r="U338" s="670">
        <v>0</v>
      </c>
      <c r="V338" s="670">
        <v>0</v>
      </c>
      <c r="W338" s="670">
        <v>0</v>
      </c>
      <c r="X338" s="670">
        <v>0</v>
      </c>
      <c r="Y338" s="670">
        <v>0</v>
      </c>
      <c r="Z338" s="670">
        <v>0</v>
      </c>
      <c r="AA338" s="670">
        <v>0</v>
      </c>
      <c r="AB338" s="670">
        <v>0</v>
      </c>
      <c r="AC338" s="670">
        <v>0</v>
      </c>
      <c r="AD338" s="670">
        <v>0</v>
      </c>
      <c r="AE338" s="670">
        <v>0</v>
      </c>
      <c r="AF338" s="670">
        <v>0</v>
      </c>
      <c r="AG338" s="670">
        <v>0</v>
      </c>
      <c r="AH338" s="670">
        <v>0</v>
      </c>
      <c r="AI338" s="670">
        <v>0</v>
      </c>
      <c r="AJ338" s="700">
        <v>0</v>
      </c>
      <c r="AK338" s="695">
        <f t="shared" si="112"/>
        <v>0</v>
      </c>
    </row>
    <row r="339" spans="2:37" ht="15.75" hidden="1" customHeight="1">
      <c r="B339" s="219"/>
      <c r="C339" s="1060"/>
      <c r="D339" s="704"/>
      <c r="E339" s="668" t="s">
        <v>209</v>
      </c>
      <c r="F339" s="669">
        <v>0</v>
      </c>
      <c r="G339" s="670">
        <v>0</v>
      </c>
      <c r="H339" s="670">
        <v>0</v>
      </c>
      <c r="I339" s="670">
        <v>0</v>
      </c>
      <c r="J339" s="670">
        <v>0</v>
      </c>
      <c r="K339" s="670">
        <v>0</v>
      </c>
      <c r="L339" s="670">
        <v>0</v>
      </c>
      <c r="M339" s="670">
        <v>0</v>
      </c>
      <c r="N339" s="670">
        <v>0</v>
      </c>
      <c r="O339" s="670">
        <v>0</v>
      </c>
      <c r="P339" s="670">
        <v>0</v>
      </c>
      <c r="Q339" s="670">
        <v>0</v>
      </c>
      <c r="R339" s="670">
        <v>0</v>
      </c>
      <c r="S339" s="670">
        <v>0</v>
      </c>
      <c r="T339" s="670">
        <v>0</v>
      </c>
      <c r="U339" s="670">
        <v>0</v>
      </c>
      <c r="V339" s="670">
        <v>0</v>
      </c>
      <c r="W339" s="670">
        <v>0</v>
      </c>
      <c r="X339" s="670">
        <v>0</v>
      </c>
      <c r="Y339" s="670">
        <v>0</v>
      </c>
      <c r="Z339" s="670">
        <v>0</v>
      </c>
      <c r="AA339" s="670">
        <v>0</v>
      </c>
      <c r="AB339" s="670">
        <v>0</v>
      </c>
      <c r="AC339" s="670">
        <v>0</v>
      </c>
      <c r="AD339" s="670">
        <v>0</v>
      </c>
      <c r="AE339" s="670">
        <v>0</v>
      </c>
      <c r="AF339" s="670">
        <v>0</v>
      </c>
      <c r="AG339" s="670">
        <v>0</v>
      </c>
      <c r="AH339" s="670">
        <v>0</v>
      </c>
      <c r="AI339" s="670">
        <v>0</v>
      </c>
      <c r="AJ339" s="700">
        <v>0</v>
      </c>
      <c r="AK339" s="695">
        <f t="shared" si="112"/>
        <v>0</v>
      </c>
    </row>
    <row r="340" spans="2:37" ht="15.75" hidden="1" customHeight="1">
      <c r="B340" s="219"/>
      <c r="C340" s="1060"/>
      <c r="D340" s="704"/>
      <c r="E340" s="668" t="s">
        <v>210</v>
      </c>
      <c r="F340" s="669">
        <v>0</v>
      </c>
      <c r="G340" s="670">
        <v>0</v>
      </c>
      <c r="H340" s="670">
        <v>0</v>
      </c>
      <c r="I340" s="670">
        <v>0</v>
      </c>
      <c r="J340" s="670">
        <v>0</v>
      </c>
      <c r="K340" s="670">
        <v>0</v>
      </c>
      <c r="L340" s="670">
        <v>0</v>
      </c>
      <c r="M340" s="670">
        <v>0</v>
      </c>
      <c r="N340" s="670">
        <v>0</v>
      </c>
      <c r="O340" s="670">
        <v>0</v>
      </c>
      <c r="P340" s="670">
        <v>0</v>
      </c>
      <c r="Q340" s="670">
        <v>0</v>
      </c>
      <c r="R340" s="670">
        <v>0</v>
      </c>
      <c r="S340" s="670">
        <v>0</v>
      </c>
      <c r="T340" s="670">
        <v>0</v>
      </c>
      <c r="U340" s="670">
        <v>0</v>
      </c>
      <c r="V340" s="670">
        <v>0</v>
      </c>
      <c r="W340" s="670">
        <v>0</v>
      </c>
      <c r="X340" s="670">
        <v>0</v>
      </c>
      <c r="Y340" s="670">
        <v>0</v>
      </c>
      <c r="Z340" s="670">
        <v>0</v>
      </c>
      <c r="AA340" s="670">
        <v>0</v>
      </c>
      <c r="AB340" s="670">
        <v>0</v>
      </c>
      <c r="AC340" s="670">
        <v>0</v>
      </c>
      <c r="AD340" s="670">
        <v>0</v>
      </c>
      <c r="AE340" s="670">
        <v>0</v>
      </c>
      <c r="AF340" s="670">
        <v>0</v>
      </c>
      <c r="AG340" s="670">
        <v>0</v>
      </c>
      <c r="AH340" s="670">
        <v>0</v>
      </c>
      <c r="AI340" s="670">
        <v>0</v>
      </c>
      <c r="AJ340" s="700">
        <v>0</v>
      </c>
      <c r="AK340" s="695">
        <f t="shared" si="112"/>
        <v>0</v>
      </c>
    </row>
    <row r="341" spans="2:37" ht="15.75" hidden="1" customHeight="1">
      <c r="B341" s="219"/>
      <c r="C341" s="1060"/>
      <c r="D341" s="704"/>
      <c r="E341" s="668" t="s">
        <v>211</v>
      </c>
      <c r="F341" s="669">
        <v>0</v>
      </c>
      <c r="G341" s="670">
        <v>0</v>
      </c>
      <c r="H341" s="670">
        <v>0</v>
      </c>
      <c r="I341" s="670">
        <v>0</v>
      </c>
      <c r="J341" s="670">
        <v>0</v>
      </c>
      <c r="K341" s="670">
        <v>0</v>
      </c>
      <c r="L341" s="670">
        <v>0</v>
      </c>
      <c r="M341" s="670">
        <v>0</v>
      </c>
      <c r="N341" s="670">
        <v>0</v>
      </c>
      <c r="O341" s="670">
        <v>0</v>
      </c>
      <c r="P341" s="670">
        <v>0</v>
      </c>
      <c r="Q341" s="670">
        <v>0</v>
      </c>
      <c r="R341" s="670">
        <v>0</v>
      </c>
      <c r="S341" s="670">
        <v>0</v>
      </c>
      <c r="T341" s="670">
        <v>0</v>
      </c>
      <c r="U341" s="670">
        <v>0</v>
      </c>
      <c r="V341" s="670">
        <v>0</v>
      </c>
      <c r="W341" s="670">
        <v>0</v>
      </c>
      <c r="X341" s="670">
        <v>0</v>
      </c>
      <c r="Y341" s="670">
        <v>0</v>
      </c>
      <c r="Z341" s="670">
        <v>0</v>
      </c>
      <c r="AA341" s="670">
        <v>0</v>
      </c>
      <c r="AB341" s="670">
        <v>0</v>
      </c>
      <c r="AC341" s="670">
        <v>0</v>
      </c>
      <c r="AD341" s="670">
        <v>0</v>
      </c>
      <c r="AE341" s="670">
        <v>0</v>
      </c>
      <c r="AF341" s="670">
        <v>0</v>
      </c>
      <c r="AG341" s="670">
        <v>0</v>
      </c>
      <c r="AH341" s="670">
        <v>0</v>
      </c>
      <c r="AI341" s="670">
        <v>0</v>
      </c>
      <c r="AJ341" s="700">
        <v>0</v>
      </c>
      <c r="AK341" s="695">
        <f t="shared" si="112"/>
        <v>0</v>
      </c>
    </row>
    <row r="342" spans="2:37" ht="15.75" hidden="1" customHeight="1">
      <c r="B342" s="219"/>
      <c r="C342" s="1060"/>
      <c r="D342" s="704"/>
      <c r="E342" s="668" t="s">
        <v>212</v>
      </c>
      <c r="F342" s="669">
        <v>0</v>
      </c>
      <c r="G342" s="670">
        <v>0</v>
      </c>
      <c r="H342" s="670">
        <v>0</v>
      </c>
      <c r="I342" s="670">
        <v>0</v>
      </c>
      <c r="J342" s="670">
        <v>0</v>
      </c>
      <c r="K342" s="670">
        <v>0</v>
      </c>
      <c r="L342" s="670">
        <v>0</v>
      </c>
      <c r="M342" s="670">
        <v>0</v>
      </c>
      <c r="N342" s="670">
        <v>0</v>
      </c>
      <c r="O342" s="670">
        <v>0</v>
      </c>
      <c r="P342" s="670">
        <v>0</v>
      </c>
      <c r="Q342" s="670">
        <v>0</v>
      </c>
      <c r="R342" s="670">
        <v>0</v>
      </c>
      <c r="S342" s="670">
        <v>0</v>
      </c>
      <c r="T342" s="670">
        <v>0</v>
      </c>
      <c r="U342" s="670">
        <v>0</v>
      </c>
      <c r="V342" s="670">
        <v>0</v>
      </c>
      <c r="W342" s="670">
        <v>0</v>
      </c>
      <c r="X342" s="670">
        <v>0</v>
      </c>
      <c r="Y342" s="670">
        <v>0</v>
      </c>
      <c r="Z342" s="670">
        <v>0</v>
      </c>
      <c r="AA342" s="670">
        <v>0</v>
      </c>
      <c r="AB342" s="670">
        <v>0</v>
      </c>
      <c r="AC342" s="670">
        <v>0</v>
      </c>
      <c r="AD342" s="670">
        <v>0</v>
      </c>
      <c r="AE342" s="670">
        <v>0</v>
      </c>
      <c r="AF342" s="670">
        <v>0</v>
      </c>
      <c r="AG342" s="670">
        <v>0</v>
      </c>
      <c r="AH342" s="670">
        <v>0</v>
      </c>
      <c r="AI342" s="670">
        <v>0</v>
      </c>
      <c r="AJ342" s="738">
        <v>0</v>
      </c>
      <c r="AK342" s="695">
        <f t="shared" si="112"/>
        <v>0</v>
      </c>
    </row>
    <row r="343" spans="2:37" ht="15.75" hidden="1" customHeight="1">
      <c r="B343" s="219"/>
      <c r="C343" s="1061"/>
      <c r="D343" s="704"/>
      <c r="E343" s="709" t="s">
        <v>213</v>
      </c>
      <c r="F343" s="673">
        <v>0</v>
      </c>
      <c r="G343" s="674">
        <v>0</v>
      </c>
      <c r="H343" s="674">
        <v>0</v>
      </c>
      <c r="I343" s="674">
        <v>0</v>
      </c>
      <c r="J343" s="674">
        <v>0</v>
      </c>
      <c r="K343" s="674">
        <v>0</v>
      </c>
      <c r="L343" s="674">
        <v>0</v>
      </c>
      <c r="M343" s="674">
        <v>0</v>
      </c>
      <c r="N343" s="674">
        <v>0</v>
      </c>
      <c r="O343" s="674">
        <v>0</v>
      </c>
      <c r="P343" s="674">
        <v>0</v>
      </c>
      <c r="Q343" s="674">
        <v>0</v>
      </c>
      <c r="R343" s="674">
        <v>0</v>
      </c>
      <c r="S343" s="674">
        <v>0</v>
      </c>
      <c r="T343" s="674">
        <v>0</v>
      </c>
      <c r="U343" s="674">
        <v>0</v>
      </c>
      <c r="V343" s="674">
        <v>0</v>
      </c>
      <c r="W343" s="674">
        <v>0</v>
      </c>
      <c r="X343" s="674">
        <v>0</v>
      </c>
      <c r="Y343" s="674">
        <v>0</v>
      </c>
      <c r="Z343" s="674">
        <v>0</v>
      </c>
      <c r="AA343" s="674">
        <v>0</v>
      </c>
      <c r="AB343" s="674">
        <v>0</v>
      </c>
      <c r="AC343" s="674">
        <v>0</v>
      </c>
      <c r="AD343" s="674">
        <v>0</v>
      </c>
      <c r="AE343" s="674">
        <v>0</v>
      </c>
      <c r="AF343" s="674">
        <v>0</v>
      </c>
      <c r="AG343" s="674">
        <v>0</v>
      </c>
      <c r="AH343" s="674">
        <v>0</v>
      </c>
      <c r="AI343" s="674">
        <v>0</v>
      </c>
      <c r="AJ343" s="701">
        <v>0</v>
      </c>
      <c r="AK343" s="697">
        <f t="shared" si="112"/>
        <v>0</v>
      </c>
    </row>
    <row r="344" spans="2:37" ht="17.399999999999999">
      <c r="B344" s="219"/>
      <c r="C344" s="644" t="str">
        <f>"9. Distance "&amp;MID(C2,13,20)</f>
        <v>9. Distance Sep'26</v>
      </c>
      <c r="D344" s="644"/>
      <c r="J344" s="219"/>
      <c r="K344" s="219"/>
      <c r="X344" s="219"/>
      <c r="AA344" s="219"/>
      <c r="AE344" s="683"/>
      <c r="AH344" s="372"/>
      <c r="AI344" s="372"/>
      <c r="AK344" s="219"/>
    </row>
    <row r="345" spans="2:37">
      <c r="B345" s="219"/>
      <c r="F345" s="533">
        <v>11261.05</v>
      </c>
      <c r="X345" s="235"/>
      <c r="Y345" s="219"/>
    </row>
    <row r="346" spans="2:37">
      <c r="B346" s="219"/>
      <c r="C346" s="973" t="s">
        <v>185</v>
      </c>
      <c r="D346" s="974"/>
      <c r="E346" s="888" t="s">
        <v>61</v>
      </c>
      <c r="F346" s="888" t="s">
        <v>62</v>
      </c>
      <c r="G346" s="888" t="s">
        <v>63</v>
      </c>
      <c r="H346" s="888" t="s">
        <v>64</v>
      </c>
      <c r="I346" s="888" t="s">
        <v>65</v>
      </c>
      <c r="J346" s="888" t="s">
        <v>66</v>
      </c>
      <c r="K346" s="888" t="s">
        <v>67</v>
      </c>
      <c r="L346" s="888" t="s">
        <v>68</v>
      </c>
      <c r="M346" s="888" t="s">
        <v>69</v>
      </c>
      <c r="N346" s="888" t="s">
        <v>70</v>
      </c>
      <c r="O346" s="888" t="s">
        <v>71</v>
      </c>
      <c r="P346" s="888" t="s">
        <v>72</v>
      </c>
      <c r="Q346" s="888" t="s">
        <v>73</v>
      </c>
      <c r="R346" s="888" t="s">
        <v>74</v>
      </c>
      <c r="S346" s="888" t="s">
        <v>75</v>
      </c>
      <c r="T346" s="888" t="s">
        <v>76</v>
      </c>
      <c r="U346" s="888" t="s">
        <v>77</v>
      </c>
      <c r="V346" s="888" t="s">
        <v>78</v>
      </c>
      <c r="W346" s="888" t="s">
        <v>79</v>
      </c>
      <c r="X346" s="888" t="s">
        <v>80</v>
      </c>
      <c r="Y346" s="888" t="s">
        <v>81</v>
      </c>
      <c r="Z346" s="888" t="s">
        <v>82</v>
      </c>
      <c r="AA346" s="888" t="s">
        <v>83</v>
      </c>
      <c r="AB346" s="888" t="s">
        <v>84</v>
      </c>
      <c r="AC346" s="888" t="s">
        <v>85</v>
      </c>
      <c r="AD346" s="888" t="s">
        <v>86</v>
      </c>
      <c r="AE346" s="888" t="s">
        <v>87</v>
      </c>
      <c r="AF346" s="888" t="s">
        <v>88</v>
      </c>
      <c r="AG346" s="888" t="s">
        <v>89</v>
      </c>
      <c r="AH346" s="888" t="s">
        <v>90</v>
      </c>
      <c r="AI346" s="888" t="s">
        <v>91</v>
      </c>
      <c r="AJ346" s="687" t="s">
        <v>194</v>
      </c>
    </row>
    <row r="347" spans="2:37">
      <c r="C347" s="967" t="s">
        <v>111</v>
      </c>
      <c r="D347" s="968"/>
      <c r="E347" s="710" t="str">
        <f>IFERROR(SUMIFS(OB_Act[Distance],OB_Act[Day],E$346,OB_Act[Pit],$C$347,OB_Act[Contractor],"SNS")/F$36,"")</f>
        <v/>
      </c>
      <c r="F347" s="710" t="str">
        <f>IFERROR(SUMIFS(OB_Act[Distance],OB_Act[Day],F$346,OB_Act[Pit],$C$347,OB_Act[Contractor],"SNS")/G$36,"")</f>
        <v/>
      </c>
      <c r="G347" s="710" t="str">
        <f>IFERROR(SUMIFS(OB_Act[Distance],OB_Act[Day],G$346,OB_Act[Pit],$C$347,OB_Act[Contractor],"SNS")/H$36,"")</f>
        <v/>
      </c>
      <c r="H347" s="710" t="str">
        <f>IFERROR(SUMIFS(OB_Act[Distance],OB_Act[Day],H$346,OB_Act[Pit],$C$347,OB_Act[Contractor],"SNS")/I$36,"")</f>
        <v/>
      </c>
      <c r="I347" s="710" t="str">
        <f>IFERROR(SUMIFS(OB_Act[Distance],OB_Act[Day],I$346,OB_Act[Pit],$C$347,OB_Act[Contractor],"SNS")/J$36,"")</f>
        <v/>
      </c>
      <c r="J347" s="710" t="str">
        <f>IFERROR(SUMIFS(OB_Act[Distance],OB_Act[Day],J$346,OB_Act[Pit],$C$347,OB_Act[Contractor],"SNS")/K$36,"")</f>
        <v/>
      </c>
      <c r="K347" s="710" t="str">
        <f>IFERROR(SUMIFS(OB_Act[Distance],OB_Act[Day],K$346,OB_Act[Pit],$C$347,OB_Act[Contractor],"SNS")/L$36,"")</f>
        <v/>
      </c>
      <c r="L347" s="710" t="str">
        <f>IFERROR(SUMIFS(OB_Act[Distance],OB_Act[Day],L$346,OB_Act[Pit],$C$347,OB_Act[Contractor],"SNS")/M$36,"")</f>
        <v/>
      </c>
      <c r="M347" s="710" t="str">
        <f>IFERROR(SUMIFS(OB_Act[Distance],OB_Act[Day],M$346,OB_Act[Pit],$C$347,OB_Act[Contractor],"SNS")/N$36,"")</f>
        <v/>
      </c>
      <c r="N347" s="710" t="str">
        <f>IFERROR(SUMIFS(OB_Act[Distance],OB_Act[Day],N$346,OB_Act[Pit],$C$347,OB_Act[Contractor],"SNS")/O$36,"")</f>
        <v/>
      </c>
      <c r="O347" s="710" t="str">
        <f>IFERROR(SUMIFS(OB_Act[Distance],OB_Act[Day],O$346,OB_Act[Pit],$C$347,OB_Act[Contractor],"SNS")/P$36,"")</f>
        <v/>
      </c>
      <c r="P347" s="710" t="str">
        <f>IFERROR(SUMIFS(OB_Act[Distance],OB_Act[Day],P$346,OB_Act[Pit],$C$347,OB_Act[Contractor],"SNS")/Q$36,"")</f>
        <v/>
      </c>
      <c r="Q347" s="710" t="str">
        <f>IFERROR(SUMIFS(OB_Act[Distance],OB_Act[Day],Q$346,OB_Act[Pit],$C$347,OB_Act[Contractor],"SNS")/R$36,"")</f>
        <v/>
      </c>
      <c r="R347" s="710" t="str">
        <f>IFERROR(SUMIFS(OB_Act[Distance],OB_Act[Day],R$346,OB_Act[Pit],$C$347,OB_Act[Contractor],"SNS")/S$36,"")</f>
        <v/>
      </c>
      <c r="S347" s="710" t="str">
        <f>IFERROR(SUMIFS(OB_Act[Distance],OB_Act[Day],S$346,OB_Act[Pit],$C$347,OB_Act[Contractor],"SNS")/T$36,"")</f>
        <v/>
      </c>
      <c r="T347" s="710" t="str">
        <f>IFERROR(SUMIFS(OB_Act[Distance],OB_Act[Day],T$346,OB_Act[Pit],$C$347,OB_Act[Contractor],"SNS")/U$36,"")</f>
        <v/>
      </c>
      <c r="U347" s="710" t="str">
        <f>IFERROR(SUMIFS(OB_Act[Distance],OB_Act[Day],U$346,OB_Act[Pit],$C$347,OB_Act[Contractor],"SNS")/V$36,"")</f>
        <v/>
      </c>
      <c r="V347" s="710" t="str">
        <f>IFERROR(SUMIFS(OB_Act[Distance],OB_Act[Day],V$346,OB_Act[Pit],$C$347,OB_Act[Contractor],"SNS")/W$36,"")</f>
        <v/>
      </c>
      <c r="W347" s="710" t="str">
        <f>IFERROR(SUMIFS(OB_Act[Distance],OB_Act[Day],W$346,OB_Act[Pit],$C$347,OB_Act[Contractor],"SNS")/X$36,"")</f>
        <v/>
      </c>
      <c r="X347" s="710" t="str">
        <f>IFERROR(SUMIFS(OB_Act[Distance],OB_Act[Day],X$346,OB_Act[Pit],$C$347,OB_Act[Contractor],"SNS")/Y$36,"")</f>
        <v/>
      </c>
      <c r="Y347" s="710" t="str">
        <f>IFERROR(SUMIFS(OB_Act[Distance],OB_Act[Day],Y$346,OB_Act[Pit],$C$347,OB_Act[Contractor],"SNS")/Z$36,"")</f>
        <v/>
      </c>
      <c r="Z347" s="710" t="str">
        <f>IFERROR(SUMIFS(OB_Act[Distance],OB_Act[Day],Z$346,OB_Act[Pit],$C$347,OB_Act[Contractor],"SNS")/AA$36,"")</f>
        <v/>
      </c>
      <c r="AA347" s="710" t="str">
        <f>IFERROR(SUMIFS(OB_Act[Distance],OB_Act[Day],AA$346,OB_Act[Pit],$C$347,OB_Act[Contractor],"SNS")/AB$36,"")</f>
        <v/>
      </c>
      <c r="AB347" s="710" t="str">
        <f>IFERROR(SUMIFS(OB_Act[Distance],OB_Act[Day],AB$346,OB_Act[Pit],$C$347,OB_Act[Contractor],"SNS")/AC$36,"")</f>
        <v/>
      </c>
      <c r="AC347" s="710" t="str">
        <f>IFERROR(SUMIFS(OB_Act[Distance],OB_Act[Day],AC$346,OB_Act[Pit],$C$347,OB_Act[Contractor],"SNS")/AD$36,"")</f>
        <v/>
      </c>
      <c r="AD347" s="710" t="str">
        <f>IFERROR(SUMIFS(OB_Act[Distance],OB_Act[Day],AD$346,OB_Act[Pit],$C$347,OB_Act[Contractor],"SNS")/AE$36,"")</f>
        <v/>
      </c>
      <c r="AE347" s="710" t="str">
        <f>IFERROR(SUMIFS(OB_Act[Distance],OB_Act[Day],AE$346,OB_Act[Pit],$C$347,OB_Act[Contractor],"SNS")/AF$36,"")</f>
        <v/>
      </c>
      <c r="AF347" s="710" t="str">
        <f>IFERROR(SUMIFS(OB_Act[Distance],OB_Act[Day],AF$346,OB_Act[Pit],$C$347,OB_Act[Contractor],"SNS")/AG$36,"")</f>
        <v/>
      </c>
      <c r="AG347" s="710" t="str">
        <f>IFERROR(SUMIFS(OB_Act[Distance],OB_Act[Day],AG$346,OB_Act[Pit],$C$347,OB_Act[Contractor],"SNS")/AH$36,"")</f>
        <v/>
      </c>
      <c r="AH347" s="710" t="str">
        <f>IFERROR(SUMIFS(OB_Act[Distance],OB_Act[Day],AH$346,OB_Act[Pit],$C$347,OB_Act[Contractor],"SNS")/AI$36,"")</f>
        <v/>
      </c>
      <c r="AI347" s="710" t="str">
        <f>IFERROR(SUMIFS(OB_Act[Distance],OB_Act[Day],AI$346,OB_Act[Pit],$C$347,OB_Act[Contractor],"SNS")/AJ$36,"")</f>
        <v/>
      </c>
      <c r="AJ347" s="688">
        <f t="shared" ref="AJ347:AJ352" si="113">SUM(E347:AI347)</f>
        <v>0</v>
      </c>
    </row>
    <row r="348" spans="2:37">
      <c r="C348" s="967"/>
      <c r="D348" s="968"/>
      <c r="E348" s="646">
        <v>0</v>
      </c>
      <c r="F348" s="646">
        <v>0</v>
      </c>
      <c r="G348" s="646">
        <v>0</v>
      </c>
      <c r="H348" s="646">
        <v>0</v>
      </c>
      <c r="I348" s="646">
        <v>0</v>
      </c>
      <c r="J348" s="646">
        <v>0</v>
      </c>
      <c r="K348" s="646">
        <v>0</v>
      </c>
      <c r="L348" s="646"/>
      <c r="M348" s="646">
        <v>0</v>
      </c>
      <c r="N348" s="646">
        <v>0</v>
      </c>
      <c r="O348" s="646">
        <v>0</v>
      </c>
      <c r="P348" s="646">
        <v>0</v>
      </c>
      <c r="Q348" s="646">
        <v>0</v>
      </c>
      <c r="R348" s="646">
        <v>0</v>
      </c>
      <c r="S348" s="646">
        <v>0</v>
      </c>
      <c r="T348" s="646">
        <v>0</v>
      </c>
      <c r="U348" s="646">
        <v>0</v>
      </c>
      <c r="V348" s="646">
        <v>0</v>
      </c>
      <c r="W348" s="646">
        <v>0</v>
      </c>
      <c r="X348" s="646">
        <v>0</v>
      </c>
      <c r="Y348" s="646">
        <v>0</v>
      </c>
      <c r="Z348" s="646">
        <v>0</v>
      </c>
      <c r="AA348" s="646">
        <v>0</v>
      </c>
      <c r="AB348" s="646">
        <v>0</v>
      </c>
      <c r="AC348" s="646">
        <v>0</v>
      </c>
      <c r="AD348" s="646">
        <v>0</v>
      </c>
      <c r="AE348" s="646">
        <v>0</v>
      </c>
      <c r="AF348" s="646">
        <v>0</v>
      </c>
      <c r="AG348" s="646">
        <v>0</v>
      </c>
      <c r="AH348" s="646">
        <v>0</v>
      </c>
      <c r="AI348" s="646">
        <v>0</v>
      </c>
      <c r="AJ348" s="688">
        <f t="shared" si="113"/>
        <v>0</v>
      </c>
    </row>
    <row r="349" spans="2:37">
      <c r="C349" s="967"/>
      <c r="D349" s="968"/>
      <c r="E349" s="646">
        <v>0</v>
      </c>
      <c r="F349" s="646">
        <v>0</v>
      </c>
      <c r="G349" s="646">
        <v>0</v>
      </c>
      <c r="H349" s="646">
        <v>0</v>
      </c>
      <c r="I349" s="646">
        <v>0</v>
      </c>
      <c r="J349" s="646">
        <v>0</v>
      </c>
      <c r="K349" s="646">
        <v>0</v>
      </c>
      <c r="L349" s="646">
        <v>0</v>
      </c>
      <c r="M349" s="646">
        <v>0</v>
      </c>
      <c r="N349" s="646">
        <v>0</v>
      </c>
      <c r="O349" s="646">
        <v>0</v>
      </c>
      <c r="P349" s="646">
        <v>0</v>
      </c>
      <c r="Q349" s="646">
        <v>0</v>
      </c>
      <c r="R349" s="646">
        <v>0</v>
      </c>
      <c r="S349" s="646">
        <v>0</v>
      </c>
      <c r="T349" s="646">
        <v>0</v>
      </c>
      <c r="U349" s="646">
        <v>0</v>
      </c>
      <c r="V349" s="646">
        <v>0</v>
      </c>
      <c r="W349" s="646">
        <v>0</v>
      </c>
      <c r="X349" s="646">
        <v>0</v>
      </c>
      <c r="Y349" s="646">
        <v>0</v>
      </c>
      <c r="Z349" s="646">
        <v>0</v>
      </c>
      <c r="AA349" s="646">
        <v>0</v>
      </c>
      <c r="AB349" s="646">
        <v>0</v>
      </c>
      <c r="AC349" s="646">
        <v>0</v>
      </c>
      <c r="AD349" s="646">
        <v>0</v>
      </c>
      <c r="AE349" s="646">
        <v>0</v>
      </c>
      <c r="AF349" s="646">
        <v>0</v>
      </c>
      <c r="AG349" s="646">
        <v>0</v>
      </c>
      <c r="AH349" s="646">
        <v>0</v>
      </c>
      <c r="AI349" s="646">
        <v>0</v>
      </c>
      <c r="AJ349" s="688">
        <f t="shared" si="113"/>
        <v>0</v>
      </c>
    </row>
    <row r="350" spans="2:37">
      <c r="C350" s="969"/>
      <c r="D350" s="970"/>
      <c r="E350" s="646">
        <v>0</v>
      </c>
      <c r="F350" s="646">
        <v>0</v>
      </c>
      <c r="G350" s="646">
        <v>0</v>
      </c>
      <c r="H350" s="646">
        <v>0</v>
      </c>
      <c r="I350" s="646">
        <v>0</v>
      </c>
      <c r="J350" s="646">
        <v>0</v>
      </c>
      <c r="K350" s="646">
        <v>0</v>
      </c>
      <c r="L350" s="646">
        <v>0</v>
      </c>
      <c r="M350" s="646">
        <v>0</v>
      </c>
      <c r="N350" s="646">
        <v>0</v>
      </c>
      <c r="O350" s="646">
        <v>0</v>
      </c>
      <c r="P350" s="646">
        <v>0</v>
      </c>
      <c r="Q350" s="646">
        <v>0</v>
      </c>
      <c r="R350" s="646">
        <v>0</v>
      </c>
      <c r="S350" s="646">
        <v>0</v>
      </c>
      <c r="T350" s="646">
        <v>0</v>
      </c>
      <c r="U350" s="646">
        <v>0</v>
      </c>
      <c r="V350" s="646">
        <v>0</v>
      </c>
      <c r="W350" s="646">
        <v>0</v>
      </c>
      <c r="X350" s="646">
        <v>0</v>
      </c>
      <c r="Y350" s="646">
        <v>0</v>
      </c>
      <c r="Z350" s="646">
        <v>0</v>
      </c>
      <c r="AA350" s="646">
        <v>0</v>
      </c>
      <c r="AB350" s="646">
        <v>0</v>
      </c>
      <c r="AC350" s="646">
        <v>0</v>
      </c>
      <c r="AD350" s="646">
        <v>0</v>
      </c>
      <c r="AE350" s="646">
        <v>0</v>
      </c>
      <c r="AF350" s="646">
        <v>0</v>
      </c>
      <c r="AG350" s="646">
        <v>0</v>
      </c>
      <c r="AH350" s="646">
        <v>0</v>
      </c>
      <c r="AI350" s="646">
        <v>0</v>
      </c>
      <c r="AJ350" s="688">
        <f t="shared" si="113"/>
        <v>0</v>
      </c>
    </row>
    <row r="351" spans="2:37">
      <c r="C351" s="967"/>
      <c r="D351" s="968"/>
      <c r="E351" s="646">
        <v>0</v>
      </c>
      <c r="F351" s="646">
        <v>0</v>
      </c>
      <c r="G351" s="646">
        <v>0</v>
      </c>
      <c r="H351" s="646">
        <v>0</v>
      </c>
      <c r="I351" s="646">
        <v>0</v>
      </c>
      <c r="J351" s="646">
        <v>0</v>
      </c>
      <c r="K351" s="646">
        <v>0</v>
      </c>
      <c r="L351" s="646">
        <v>0</v>
      </c>
      <c r="M351" s="646">
        <v>0</v>
      </c>
      <c r="N351" s="646">
        <v>0</v>
      </c>
      <c r="O351" s="646">
        <v>0</v>
      </c>
      <c r="P351" s="646">
        <v>0</v>
      </c>
      <c r="Q351" s="646">
        <v>0</v>
      </c>
      <c r="R351" s="646">
        <v>0</v>
      </c>
      <c r="S351" s="646">
        <v>0</v>
      </c>
      <c r="T351" s="646">
        <v>0</v>
      </c>
      <c r="U351" s="646">
        <v>0</v>
      </c>
      <c r="V351" s="646">
        <v>0</v>
      </c>
      <c r="W351" s="646">
        <v>0</v>
      </c>
      <c r="X351" s="646">
        <v>0</v>
      </c>
      <c r="Y351" s="646">
        <v>0</v>
      </c>
      <c r="Z351" s="646">
        <v>0</v>
      </c>
      <c r="AA351" s="646">
        <v>0</v>
      </c>
      <c r="AB351" s="646">
        <v>0</v>
      </c>
      <c r="AC351" s="646">
        <v>0</v>
      </c>
      <c r="AD351" s="646">
        <v>0</v>
      </c>
      <c r="AE351" s="646">
        <v>0</v>
      </c>
      <c r="AF351" s="646">
        <v>0</v>
      </c>
      <c r="AG351" s="646">
        <v>0</v>
      </c>
      <c r="AH351" s="646">
        <v>0</v>
      </c>
      <c r="AI351" s="646">
        <v>0</v>
      </c>
      <c r="AJ351" s="688">
        <f t="shared" si="113"/>
        <v>0</v>
      </c>
    </row>
    <row r="352" spans="2:37">
      <c r="C352" s="967"/>
      <c r="D352" s="968"/>
      <c r="E352" s="646">
        <v>0</v>
      </c>
      <c r="F352" s="646">
        <v>0</v>
      </c>
      <c r="G352" s="646">
        <v>0</v>
      </c>
      <c r="H352" s="646">
        <v>0</v>
      </c>
      <c r="I352" s="646">
        <v>0</v>
      </c>
      <c r="J352" s="646">
        <v>0</v>
      </c>
      <c r="K352" s="646">
        <v>0</v>
      </c>
      <c r="L352" s="646">
        <v>0</v>
      </c>
      <c r="M352" s="646">
        <v>0</v>
      </c>
      <c r="N352" s="646">
        <v>0</v>
      </c>
      <c r="O352" s="646">
        <v>0</v>
      </c>
      <c r="P352" s="646">
        <v>0</v>
      </c>
      <c r="Q352" s="646">
        <v>0</v>
      </c>
      <c r="R352" s="646">
        <v>0</v>
      </c>
      <c r="S352" s="646">
        <v>0</v>
      </c>
      <c r="T352" s="646">
        <v>0</v>
      </c>
      <c r="U352" s="646">
        <v>0</v>
      </c>
      <c r="V352" s="646">
        <v>0</v>
      </c>
      <c r="W352" s="646">
        <v>0</v>
      </c>
      <c r="X352" s="646">
        <v>0</v>
      </c>
      <c r="Y352" s="646">
        <v>0</v>
      </c>
      <c r="Z352" s="646">
        <v>0</v>
      </c>
      <c r="AA352" s="646">
        <v>0</v>
      </c>
      <c r="AB352" s="646">
        <v>0</v>
      </c>
      <c r="AC352" s="646">
        <v>0</v>
      </c>
      <c r="AD352" s="646">
        <v>0</v>
      </c>
      <c r="AE352" s="646">
        <v>0</v>
      </c>
      <c r="AF352" s="646">
        <v>0</v>
      </c>
      <c r="AG352" s="646">
        <v>0</v>
      </c>
      <c r="AH352" s="646">
        <v>0</v>
      </c>
      <c r="AI352" s="283">
        <v>0</v>
      </c>
      <c r="AJ352" s="688">
        <f t="shared" si="113"/>
        <v>0</v>
      </c>
    </row>
    <row r="353" spans="3:38">
      <c r="C353" s="967" t="s">
        <v>153</v>
      </c>
      <c r="D353" s="968"/>
      <c r="E353" s="710" t="str">
        <f>IFERROR(SUMIFS(OB_Act[Distance],OB_Act[Day],E$346,OB_Act[Pit],$C$353,OB_Act[Contractor],"SNS")/F$47,"")</f>
        <v/>
      </c>
      <c r="F353" s="710">
        <f>IFERROR(SUMIFS(OB_Act[Distance],OB_Act[Day],F$346,OB_Act[Pit],$C$353,OB_Act[Contractor],"SNS")/G$47,"")</f>
        <v>0</v>
      </c>
      <c r="G353" s="710">
        <f>IFERROR(SUMIFS(OB_Act[Distance],OB_Act[Day],G$346,OB_Act[Pit],$C$353,OB_Act[Contractor],"SNS")/H$47,"")</f>
        <v>0</v>
      </c>
      <c r="H353" s="710" t="str">
        <f>IFERROR(SUMIFS(OB_Act[Distance],OB_Act[Day],H$346,OB_Act[Pit],$C$353,OB_Act[Contractor],"SNS")/I$47,"")</f>
        <v/>
      </c>
      <c r="I353" s="710">
        <f>IFERROR(SUMIFS(OB_Act[Distance],OB_Act[Day],I$346,OB_Act[Pit],$C$353,OB_Act[Contractor],"SNS")/J$47,"")</f>
        <v>0</v>
      </c>
      <c r="J353" s="710" t="str">
        <f>IFERROR(SUMIFS(OB_Act[Distance],OB_Act[Day],J$346,OB_Act[Pit],$C$353,OB_Act[Contractor],"SNS")/K$47,"")</f>
        <v/>
      </c>
      <c r="K353" s="710" t="str">
        <f>IFERROR(SUMIFS(OB_Act[Distance],OB_Act[Day],K$346,OB_Act[Pit],$C$353,OB_Act[Contractor],"SNS")/L$47,"")</f>
        <v/>
      </c>
      <c r="L353" s="710" t="str">
        <f>IFERROR(SUMIFS(OB_Act[Distance],OB_Act[Day],L$346,OB_Act[Pit],$C$353,OB_Act[Contractor],"SNS")/M$47,"")</f>
        <v/>
      </c>
      <c r="M353" s="710" t="str">
        <f>IFERROR(SUMIFS(OB_Act[Distance],OB_Act[Day],M$346,OB_Act[Pit],$C$353,OB_Act[Contractor],"SNS")/N$47,"")</f>
        <v/>
      </c>
      <c r="N353" s="710" t="str">
        <f>IFERROR(SUMIFS(OB_Act[Distance],OB_Act[Day],N$346,OB_Act[Pit],$C$353,OB_Act[Contractor],"SNS")/O$47,"")</f>
        <v/>
      </c>
      <c r="O353" s="710" t="str">
        <f>IFERROR(SUMIFS(OB_Act[Distance],OB_Act[Day],O$346,OB_Act[Pit],$C$353,OB_Act[Contractor],"SNS")/P$47,"")</f>
        <v/>
      </c>
      <c r="P353" s="710" t="str">
        <f>IFERROR(SUMIFS(OB_Act[Distance],OB_Act[Day],P$346,OB_Act[Pit],$C$353,OB_Act[Contractor],"SNS")/Q$47,"")</f>
        <v/>
      </c>
      <c r="Q353" s="646">
        <v>0</v>
      </c>
      <c r="R353" s="646">
        <v>0</v>
      </c>
      <c r="S353" s="646">
        <v>0</v>
      </c>
      <c r="T353" s="646">
        <v>0</v>
      </c>
      <c r="U353" s="646">
        <v>0</v>
      </c>
      <c r="V353" s="646">
        <v>0</v>
      </c>
      <c r="W353" s="646">
        <v>0</v>
      </c>
      <c r="X353" s="646">
        <v>0</v>
      </c>
      <c r="Y353" s="646">
        <v>0</v>
      </c>
      <c r="Z353" s="646">
        <v>0</v>
      </c>
      <c r="AA353" s="646">
        <v>0</v>
      </c>
      <c r="AB353" s="646">
        <v>0</v>
      </c>
      <c r="AC353" s="646">
        <v>0</v>
      </c>
      <c r="AD353" s="646">
        <v>0</v>
      </c>
      <c r="AE353" s="646">
        <v>0</v>
      </c>
      <c r="AF353" s="646">
        <v>0</v>
      </c>
      <c r="AG353" s="646">
        <v>0</v>
      </c>
      <c r="AH353" s="646">
        <v>0</v>
      </c>
      <c r="AI353" s="646">
        <v>0</v>
      </c>
      <c r="AJ353" s="688">
        <f>SUMPRODUCT(E353:P353,F47:Q47)/AK47</f>
        <v>0</v>
      </c>
    </row>
    <row r="354" spans="3:38">
      <c r="C354" s="971"/>
      <c r="D354" s="972"/>
      <c r="E354" s="646">
        <v>0</v>
      </c>
      <c r="F354" s="646">
        <v>0</v>
      </c>
      <c r="G354" s="646">
        <v>0</v>
      </c>
      <c r="H354" s="646">
        <v>0</v>
      </c>
      <c r="I354" s="646">
        <v>0</v>
      </c>
      <c r="J354" s="646">
        <v>0</v>
      </c>
      <c r="K354" s="646">
        <v>0</v>
      </c>
      <c r="L354" s="646">
        <v>0</v>
      </c>
      <c r="M354" s="646">
        <v>0</v>
      </c>
      <c r="N354" s="646">
        <v>0</v>
      </c>
      <c r="O354" s="646">
        <v>0</v>
      </c>
      <c r="P354" s="646">
        <v>0</v>
      </c>
      <c r="Q354" s="646">
        <v>0</v>
      </c>
      <c r="R354" s="646">
        <v>0</v>
      </c>
      <c r="S354" s="646">
        <v>0</v>
      </c>
      <c r="T354" s="646">
        <v>0</v>
      </c>
      <c r="U354" s="646">
        <v>0</v>
      </c>
      <c r="V354" s="646">
        <v>0</v>
      </c>
      <c r="W354" s="646">
        <v>0</v>
      </c>
      <c r="X354" s="646">
        <v>0</v>
      </c>
      <c r="Y354" s="646">
        <v>0</v>
      </c>
      <c r="Z354" s="646">
        <v>0</v>
      </c>
      <c r="AA354" s="646">
        <v>0</v>
      </c>
      <c r="AB354" s="646">
        <v>0</v>
      </c>
      <c r="AC354" s="646">
        <v>0</v>
      </c>
      <c r="AD354" s="646">
        <v>0</v>
      </c>
      <c r="AE354" s="646">
        <v>0</v>
      </c>
      <c r="AF354" s="646">
        <v>0</v>
      </c>
      <c r="AG354" s="646">
        <v>0</v>
      </c>
      <c r="AH354" s="646">
        <v>0</v>
      </c>
      <c r="AI354" s="646">
        <v>0</v>
      </c>
      <c r="AJ354" s="688">
        <f>SUM(E354:AI354)</f>
        <v>0</v>
      </c>
    </row>
    <row r="355" spans="3:38">
      <c r="C355" s="973" t="s">
        <v>114</v>
      </c>
      <c r="D355" s="974"/>
      <c r="E355" s="647">
        <f>SUM(E347:E350)</f>
        <v>0</v>
      </c>
      <c r="F355" s="647">
        <f t="shared" ref="F355:AI355" si="114">SUM(F347:F350)</f>
        <v>0</v>
      </c>
      <c r="G355" s="647">
        <f t="shared" si="114"/>
        <v>0</v>
      </c>
      <c r="H355" s="647">
        <f t="shared" si="114"/>
        <v>0</v>
      </c>
      <c r="I355" s="647">
        <f t="shared" si="114"/>
        <v>0</v>
      </c>
      <c r="J355" s="647">
        <f t="shared" si="114"/>
        <v>0</v>
      </c>
      <c r="K355" s="647">
        <f t="shared" si="114"/>
        <v>0</v>
      </c>
      <c r="L355" s="647">
        <f t="shared" si="114"/>
        <v>0</v>
      </c>
      <c r="M355" s="647">
        <f t="shared" si="114"/>
        <v>0</v>
      </c>
      <c r="N355" s="647">
        <f t="shared" si="114"/>
        <v>0</v>
      </c>
      <c r="O355" s="647">
        <f t="shared" si="114"/>
        <v>0</v>
      </c>
      <c r="P355" s="647">
        <f t="shared" si="114"/>
        <v>0</v>
      </c>
      <c r="Q355" s="647">
        <f t="shared" si="114"/>
        <v>0</v>
      </c>
      <c r="R355" s="647">
        <f t="shared" si="114"/>
        <v>0</v>
      </c>
      <c r="S355" s="647">
        <f t="shared" si="114"/>
        <v>0</v>
      </c>
      <c r="T355" s="647">
        <f t="shared" si="114"/>
        <v>0</v>
      </c>
      <c r="U355" s="647">
        <f t="shared" si="114"/>
        <v>0</v>
      </c>
      <c r="V355" s="647">
        <f t="shared" si="114"/>
        <v>0</v>
      </c>
      <c r="W355" s="647">
        <f t="shared" si="114"/>
        <v>0</v>
      </c>
      <c r="X355" s="647">
        <f t="shared" si="114"/>
        <v>0</v>
      </c>
      <c r="Y355" s="647">
        <f t="shared" si="114"/>
        <v>0</v>
      </c>
      <c r="Z355" s="647">
        <f t="shared" si="114"/>
        <v>0</v>
      </c>
      <c r="AA355" s="647">
        <f t="shared" si="114"/>
        <v>0</v>
      </c>
      <c r="AB355" s="647">
        <f t="shared" si="114"/>
        <v>0</v>
      </c>
      <c r="AC355" s="647">
        <f t="shared" si="114"/>
        <v>0</v>
      </c>
      <c r="AD355" s="647">
        <f t="shared" si="114"/>
        <v>0</v>
      </c>
      <c r="AE355" s="647">
        <f t="shared" si="114"/>
        <v>0</v>
      </c>
      <c r="AF355" s="647">
        <f t="shared" si="114"/>
        <v>0</v>
      </c>
      <c r="AG355" s="647">
        <f t="shared" si="114"/>
        <v>0</v>
      </c>
      <c r="AH355" s="647">
        <f t="shared" si="114"/>
        <v>0</v>
      </c>
      <c r="AI355" s="647">
        <f t="shared" si="114"/>
        <v>0</v>
      </c>
      <c r="AJ355" s="688" t="e">
        <f>SUMPRODUCT(E355:AI355,F36:AJ36)/AK36</f>
        <v>#DIV/0!</v>
      </c>
      <c r="AL355" s="739">
        <f>HLOOKUP(LEFT(Summary!D3,2),E346:AI355,10,FALSE)</f>
        <v>0</v>
      </c>
    </row>
    <row r="356" spans="3:38">
      <c r="Y356" s="606"/>
    </row>
    <row r="357" spans="3:38">
      <c r="Y357" s="734"/>
      <c r="AB357" s="219"/>
    </row>
    <row r="358" spans="3:38">
      <c r="AB358" s="219"/>
      <c r="AC358" s="219"/>
    </row>
    <row r="359" spans="3:38">
      <c r="F359" s="235"/>
      <c r="G359" s="606"/>
      <c r="AB359" s="219"/>
      <c r="AC359" s="219"/>
    </row>
    <row r="364" spans="3:38">
      <c r="J364" s="713" t="str">
        <f>Outlook!F2</f>
        <v>Actual</v>
      </c>
      <c r="K364" s="713" t="str">
        <f>Outlook!G2</f>
        <v>Actual</v>
      </c>
      <c r="L364" s="713" t="str">
        <f>Outlook!H2</f>
        <v>Actual</v>
      </c>
      <c r="M364" s="713" t="str">
        <f>Outlook!I2</f>
        <v>Actual</v>
      </c>
      <c r="N364" s="713" t="str">
        <f>Outlook!J2</f>
        <v>Actual</v>
      </c>
      <c r="O364" s="713" t="str">
        <f>Outlook!K2</f>
        <v>Actual</v>
      </c>
      <c r="P364" s="713" t="str">
        <f>Outlook!L2</f>
        <v>Actual</v>
      </c>
      <c r="Q364" s="713" t="str">
        <f>Outlook!M2</f>
        <v>Actual</v>
      </c>
      <c r="R364" s="713" t="str">
        <f>Outlook!N2</f>
        <v>Outlook</v>
      </c>
      <c r="S364" s="713" t="str">
        <f>Outlook!O2</f>
        <v>Outlook</v>
      </c>
      <c r="T364" s="713" t="str">
        <f>Outlook!P2</f>
        <v>Outlook</v>
      </c>
      <c r="U364" s="713" t="str">
        <f>Outlook!Q2</f>
        <v>Outlook</v>
      </c>
    </row>
    <row r="365" spans="3:38">
      <c r="J365" s="714" t="s">
        <v>221</v>
      </c>
      <c r="K365" s="714" t="s">
        <v>222</v>
      </c>
      <c r="L365" s="714" t="s">
        <v>223</v>
      </c>
      <c r="M365" s="714" t="s">
        <v>224</v>
      </c>
      <c r="N365" s="714" t="s">
        <v>225</v>
      </c>
      <c r="O365" s="714" t="s">
        <v>226</v>
      </c>
      <c r="P365" s="714" t="s">
        <v>227</v>
      </c>
      <c r="Q365" s="714" t="s">
        <v>228</v>
      </c>
      <c r="R365" s="714" t="s">
        <v>229</v>
      </c>
      <c r="S365" s="714" t="s">
        <v>230</v>
      </c>
      <c r="T365" s="714" t="s">
        <v>231</v>
      </c>
      <c r="U365" s="714" t="s">
        <v>232</v>
      </c>
      <c r="V365" s="714" t="s">
        <v>110</v>
      </c>
    </row>
    <row r="366" spans="3:38">
      <c r="H366" s="944" t="s">
        <v>233</v>
      </c>
      <c r="I366" s="715" t="s">
        <v>6</v>
      </c>
      <c r="J366" s="716">
        <f>Budget!E12</f>
        <v>142.1</v>
      </c>
      <c r="K366" s="716">
        <f>Budget!F12</f>
        <v>81.2</v>
      </c>
      <c r="L366" s="716">
        <f>Budget!G12</f>
        <v>15.999999999999998</v>
      </c>
      <c r="M366" s="716">
        <f>Budget!H12</f>
        <v>33.5</v>
      </c>
      <c r="N366" s="716">
        <f>Budget!I12</f>
        <v>137.5</v>
      </c>
      <c r="O366" s="716">
        <f>Budget!J12</f>
        <v>526.05113488452798</v>
      </c>
      <c r="P366" s="716">
        <f>Budget!K12</f>
        <v>258.061896084718</v>
      </c>
      <c r="Q366" s="716">
        <f>Budget!L12</f>
        <v>163.06851204586999</v>
      </c>
      <c r="R366" s="716">
        <f>Budget!M12</f>
        <v>178.824952921749</v>
      </c>
      <c r="S366" s="716">
        <f>Budget!N12</f>
        <v>121.50335060536599</v>
      </c>
      <c r="T366" s="716">
        <f>Budget!O12</f>
        <v>175.554552241594</v>
      </c>
      <c r="U366" s="716">
        <f>Budget!P12</f>
        <v>254.38112862241999</v>
      </c>
      <c r="V366" s="716">
        <f>SUM(J366:U366)</f>
        <v>2087.7455274062449</v>
      </c>
    </row>
    <row r="367" spans="3:38" ht="15" customHeight="1">
      <c r="H367" s="945"/>
      <c r="I367" s="717" t="s">
        <v>32</v>
      </c>
      <c r="J367" s="718">
        <f>Outlook!F22</f>
        <v>142.1</v>
      </c>
      <c r="K367" s="718">
        <f>Outlook!G22</f>
        <v>81.2</v>
      </c>
      <c r="L367" s="718">
        <f>Outlook!H22</f>
        <v>15.999999999999998</v>
      </c>
      <c r="M367" s="718">
        <f>Outlook!I22</f>
        <v>33.5</v>
      </c>
      <c r="N367" s="718">
        <f>Outlook!J22</f>
        <v>137.5</v>
      </c>
      <c r="O367" s="718">
        <f>Outlook!K22</f>
        <v>65.899999999999991</v>
      </c>
      <c r="P367" s="718">
        <f>Outlook!L22</f>
        <v>0</v>
      </c>
      <c r="Q367" s="718">
        <f>Outlook!M22</f>
        <v>0</v>
      </c>
      <c r="R367" s="718">
        <f>Outlook!N22</f>
        <v>178.824952921749</v>
      </c>
      <c r="S367" s="718">
        <f>Outlook!O22</f>
        <v>121.50335060536599</v>
      </c>
      <c r="T367" s="718">
        <f>Outlook!P22</f>
        <v>175.554552241594</v>
      </c>
      <c r="U367" s="718">
        <f>Outlook!Q22</f>
        <v>254.38112862241999</v>
      </c>
      <c r="V367" s="729">
        <f>SUM(J367:U367)</f>
        <v>1206.4639843911291</v>
      </c>
    </row>
    <row r="368" spans="3:38">
      <c r="H368" s="945"/>
      <c r="I368" s="719" t="s">
        <v>234</v>
      </c>
      <c r="J368" s="720">
        <f>J367-J366</f>
        <v>0</v>
      </c>
      <c r="K368" s="720">
        <f t="shared" ref="K368:U368" si="115">K367-K366</f>
        <v>0</v>
      </c>
      <c r="L368" s="720">
        <f t="shared" si="115"/>
        <v>0</v>
      </c>
      <c r="M368" s="720">
        <f t="shared" si="115"/>
        <v>0</v>
      </c>
      <c r="N368" s="720">
        <f t="shared" si="115"/>
        <v>0</v>
      </c>
      <c r="O368" s="720">
        <f t="shared" si="115"/>
        <v>-460.15113488452801</v>
      </c>
      <c r="P368" s="720">
        <f t="shared" si="115"/>
        <v>-258.061896084718</v>
      </c>
      <c r="Q368" s="720">
        <f t="shared" si="115"/>
        <v>-163.06851204586999</v>
      </c>
      <c r="R368" s="720">
        <f t="shared" si="115"/>
        <v>0</v>
      </c>
      <c r="S368" s="720">
        <f t="shared" si="115"/>
        <v>0</v>
      </c>
      <c r="T368" s="720">
        <f t="shared" si="115"/>
        <v>0</v>
      </c>
      <c r="U368" s="720">
        <f t="shared" si="115"/>
        <v>0</v>
      </c>
      <c r="V368" s="720">
        <f>SUM(J368:U368)</f>
        <v>-881.28154301511597</v>
      </c>
    </row>
    <row r="369" spans="8:22">
      <c r="H369" s="946"/>
      <c r="I369" s="721" t="s">
        <v>31</v>
      </c>
      <c r="J369" s="722">
        <f>(J368/J366)</f>
        <v>0</v>
      </c>
      <c r="K369" s="722">
        <f t="shared" ref="K369:V369" si="116">(K368/K366)</f>
        <v>0</v>
      </c>
      <c r="L369" s="722">
        <f t="shared" si="116"/>
        <v>0</v>
      </c>
      <c r="M369" s="722">
        <f t="shared" si="116"/>
        <v>0</v>
      </c>
      <c r="N369" s="722">
        <f t="shared" si="116"/>
        <v>0</v>
      </c>
      <c r="O369" s="722">
        <f t="shared" si="116"/>
        <v>-0.87472700726239194</v>
      </c>
      <c r="P369" s="722">
        <f t="shared" si="116"/>
        <v>-1</v>
      </c>
      <c r="Q369" s="722">
        <f t="shared" si="116"/>
        <v>-1</v>
      </c>
      <c r="R369" s="722">
        <f t="shared" si="116"/>
        <v>0</v>
      </c>
      <c r="S369" s="722">
        <f t="shared" si="116"/>
        <v>0</v>
      </c>
      <c r="T369" s="722">
        <f t="shared" si="116"/>
        <v>0</v>
      </c>
      <c r="U369" s="722">
        <f t="shared" si="116"/>
        <v>0</v>
      </c>
      <c r="V369" s="730">
        <f t="shared" si="116"/>
        <v>-0.42212115003785677</v>
      </c>
    </row>
    <row r="370" spans="8:22">
      <c r="H370" s="944" t="s">
        <v>235</v>
      </c>
      <c r="I370" s="715" t="s">
        <v>6</v>
      </c>
      <c r="J370" s="723">
        <f>Budget!E13</f>
        <v>88.416666666569654</v>
      </c>
      <c r="K370" s="723">
        <f>Budget!F13</f>
        <v>74.53333333338378</v>
      </c>
      <c r="L370" s="723">
        <f>Budget!G13</f>
        <v>13.983333333337214</v>
      </c>
      <c r="M370" s="723">
        <f>Budget!H13</f>
        <v>37.299999999871943</v>
      </c>
      <c r="N370" s="723">
        <f>Budget!I13</f>
        <v>93.083333333954215</v>
      </c>
      <c r="O370" s="723">
        <f>Budget!J13</f>
        <v>189</v>
      </c>
      <c r="P370" s="723">
        <f>Budget!K13</f>
        <v>151.4</v>
      </c>
      <c r="Q370" s="723">
        <f>Budget!L13</f>
        <v>88.26</v>
      </c>
      <c r="R370" s="723">
        <f>Budget!M13</f>
        <v>41.39</v>
      </c>
      <c r="S370" s="723">
        <f>Budget!N13</f>
        <v>108.52</v>
      </c>
      <c r="T370" s="723">
        <f>Budget!O13</f>
        <v>105.96</v>
      </c>
      <c r="U370" s="723">
        <f>Budget!P13</f>
        <v>126.02</v>
      </c>
      <c r="V370" s="716">
        <f>SUM(J370:U370)</f>
        <v>1117.8666666671168</v>
      </c>
    </row>
    <row r="371" spans="8:22">
      <c r="H371" s="947"/>
      <c r="I371" s="717" t="s">
        <v>32</v>
      </c>
      <c r="J371" s="724">
        <f>Outlook!F23</f>
        <v>88.416666666569654</v>
      </c>
      <c r="K371" s="724">
        <f>Outlook!G23</f>
        <v>74.53333333338378</v>
      </c>
      <c r="L371" s="724">
        <f>Outlook!H23</f>
        <v>13.983333333337214</v>
      </c>
      <c r="M371" s="724">
        <f>Outlook!I23</f>
        <v>37.299999999871943</v>
      </c>
      <c r="N371" s="724">
        <f>Outlook!J23</f>
        <v>93.083333333954215</v>
      </c>
      <c r="O371" s="724">
        <f>Outlook!K23</f>
        <v>26.549999999580905</v>
      </c>
      <c r="P371" s="724">
        <f>Outlook!L23</f>
        <v>0</v>
      </c>
      <c r="Q371" s="724">
        <f>Outlook!M23</f>
        <v>0</v>
      </c>
      <c r="R371" s="724">
        <f>Outlook!N23</f>
        <v>41.39</v>
      </c>
      <c r="S371" s="724">
        <f>Outlook!O23</f>
        <v>108.52</v>
      </c>
      <c r="T371" s="724">
        <f>Outlook!P23</f>
        <v>105.96</v>
      </c>
      <c r="U371" s="724">
        <f>Outlook!Q23</f>
        <v>126.02</v>
      </c>
      <c r="V371" s="731">
        <f>SUM(J371:U371)</f>
        <v>715.7566666666977</v>
      </c>
    </row>
    <row r="372" spans="8:22">
      <c r="H372" s="947"/>
      <c r="I372" s="719" t="s">
        <v>234</v>
      </c>
      <c r="J372" s="720">
        <f t="shared" ref="J372:U372" si="117">J371-J370</f>
        <v>0</v>
      </c>
      <c r="K372" s="720">
        <f t="shared" si="117"/>
        <v>0</v>
      </c>
      <c r="L372" s="720">
        <f t="shared" si="117"/>
        <v>0</v>
      </c>
      <c r="M372" s="720">
        <f t="shared" si="117"/>
        <v>0</v>
      </c>
      <c r="N372" s="720">
        <f t="shared" si="117"/>
        <v>0</v>
      </c>
      <c r="O372" s="720">
        <f t="shared" si="117"/>
        <v>-162.4500000004191</v>
      </c>
      <c r="P372" s="720">
        <f t="shared" si="117"/>
        <v>-151.4</v>
      </c>
      <c r="Q372" s="720">
        <f t="shared" si="117"/>
        <v>-88.26</v>
      </c>
      <c r="R372" s="720">
        <f t="shared" si="117"/>
        <v>0</v>
      </c>
      <c r="S372" s="720">
        <f t="shared" si="117"/>
        <v>0</v>
      </c>
      <c r="T372" s="720">
        <f t="shared" si="117"/>
        <v>0</v>
      </c>
      <c r="U372" s="720">
        <f t="shared" si="117"/>
        <v>0</v>
      </c>
      <c r="V372" s="720">
        <f>SUM(J372:U372)</f>
        <v>-402.11000000041906</v>
      </c>
    </row>
    <row r="373" spans="8:22">
      <c r="H373" s="948"/>
      <c r="I373" s="721" t="s">
        <v>31</v>
      </c>
      <c r="J373" s="722">
        <f>(J372/J370)</f>
        <v>0</v>
      </c>
      <c r="K373" s="722">
        <f t="shared" ref="K373:V373" si="118">(K372/K370)</f>
        <v>0</v>
      </c>
      <c r="L373" s="722">
        <f t="shared" si="118"/>
        <v>0</v>
      </c>
      <c r="M373" s="722">
        <f t="shared" si="118"/>
        <v>0</v>
      </c>
      <c r="N373" s="722">
        <f t="shared" si="118"/>
        <v>0</v>
      </c>
      <c r="O373" s="722">
        <f t="shared" si="118"/>
        <v>-0.85952380952602692</v>
      </c>
      <c r="P373" s="722">
        <f t="shared" si="118"/>
        <v>-1</v>
      </c>
      <c r="Q373" s="722">
        <f t="shared" si="118"/>
        <v>-1</v>
      </c>
      <c r="R373" s="722">
        <f t="shared" si="118"/>
        <v>0</v>
      </c>
      <c r="S373" s="722">
        <f t="shared" si="118"/>
        <v>0</v>
      </c>
      <c r="T373" s="722">
        <f t="shared" si="118"/>
        <v>0</v>
      </c>
      <c r="U373" s="722">
        <f t="shared" si="118"/>
        <v>0</v>
      </c>
      <c r="V373" s="730">
        <f t="shared" si="118"/>
        <v>-0.35971195133610789</v>
      </c>
    </row>
    <row r="374" spans="8:22">
      <c r="H374" s="944" t="s">
        <v>236</v>
      </c>
      <c r="I374" s="715" t="s">
        <v>6</v>
      </c>
      <c r="J374" s="723">
        <f>Budget!E14</f>
        <v>0</v>
      </c>
      <c r="K374" s="723">
        <f>Budget!F14</f>
        <v>0</v>
      </c>
      <c r="L374" s="723">
        <f>Budget!G14</f>
        <v>0</v>
      </c>
      <c r="M374" s="723">
        <f>Budget!H14</f>
        <v>0</v>
      </c>
      <c r="N374" s="723">
        <f>Budget!I14</f>
        <v>0</v>
      </c>
      <c r="O374" s="723">
        <f>Budget!J14</f>
        <v>57.1</v>
      </c>
      <c r="P374" s="723">
        <f>Budget!K14</f>
        <v>59.17</v>
      </c>
      <c r="Q374" s="723">
        <f>Budget!L14</f>
        <v>50.91</v>
      </c>
      <c r="R374" s="723">
        <f>Budget!M14</f>
        <v>52.82</v>
      </c>
      <c r="S374" s="723">
        <f>Budget!N14</f>
        <v>53.93</v>
      </c>
      <c r="T374" s="723">
        <f>Budget!O14</f>
        <v>71.22</v>
      </c>
      <c r="U374" s="723">
        <f>Budget!P14</f>
        <v>70.7</v>
      </c>
      <c r="V374" s="716">
        <f>SUM(J374:U374)</f>
        <v>415.84999999999997</v>
      </c>
    </row>
    <row r="375" spans="8:22" ht="15" customHeight="1">
      <c r="H375" s="947"/>
      <c r="I375" s="717" t="s">
        <v>32</v>
      </c>
      <c r="J375" s="724">
        <f>Outlook!F24</f>
        <v>0</v>
      </c>
      <c r="K375" s="724">
        <f>Outlook!G24</f>
        <v>0</v>
      </c>
      <c r="L375" s="724">
        <f>Outlook!H24</f>
        <v>0</v>
      </c>
      <c r="M375" s="724">
        <f>Outlook!I24</f>
        <v>0</v>
      </c>
      <c r="N375" s="724">
        <f>Outlook!J24</f>
        <v>0</v>
      </c>
      <c r="O375" s="724">
        <f>Outlook!K24</f>
        <v>0</v>
      </c>
      <c r="P375" s="724">
        <f>Outlook!L24</f>
        <v>0</v>
      </c>
      <c r="Q375" s="724">
        <f>Outlook!M24</f>
        <v>0</v>
      </c>
      <c r="R375" s="724">
        <f>Outlook!N24</f>
        <v>52.82</v>
      </c>
      <c r="S375" s="724">
        <f>Outlook!O24</f>
        <v>53.93</v>
      </c>
      <c r="T375" s="724">
        <f>Outlook!P24</f>
        <v>71.22</v>
      </c>
      <c r="U375" s="724">
        <f>Outlook!Q24</f>
        <v>70.7</v>
      </c>
      <c r="V375" s="731">
        <f>SUM(J375:U375)</f>
        <v>248.67000000000002</v>
      </c>
    </row>
    <row r="376" spans="8:22">
      <c r="H376" s="947"/>
      <c r="I376" s="719" t="s">
        <v>234</v>
      </c>
      <c r="J376" s="720">
        <f t="shared" ref="J376:U376" si="119">J375-J374</f>
        <v>0</v>
      </c>
      <c r="K376" s="720">
        <f t="shared" si="119"/>
        <v>0</v>
      </c>
      <c r="L376" s="720">
        <f t="shared" si="119"/>
        <v>0</v>
      </c>
      <c r="M376" s="720">
        <f t="shared" si="119"/>
        <v>0</v>
      </c>
      <c r="N376" s="720">
        <f t="shared" si="119"/>
        <v>0</v>
      </c>
      <c r="O376" s="720">
        <f t="shared" si="119"/>
        <v>-57.1</v>
      </c>
      <c r="P376" s="720">
        <f t="shared" si="119"/>
        <v>-59.17</v>
      </c>
      <c r="Q376" s="720">
        <f t="shared" si="119"/>
        <v>-50.91</v>
      </c>
      <c r="R376" s="720">
        <f t="shared" si="119"/>
        <v>0</v>
      </c>
      <c r="S376" s="720">
        <f t="shared" si="119"/>
        <v>0</v>
      </c>
      <c r="T376" s="720">
        <f t="shared" si="119"/>
        <v>0</v>
      </c>
      <c r="U376" s="720">
        <f t="shared" si="119"/>
        <v>0</v>
      </c>
      <c r="V376" s="720">
        <f>SUM(J376:U376)</f>
        <v>-167.18</v>
      </c>
    </row>
    <row r="377" spans="8:22">
      <c r="H377" s="948"/>
      <c r="I377" s="721" t="s">
        <v>31</v>
      </c>
      <c r="J377" s="722" t="e">
        <f>(J376/J374)</f>
        <v>#DIV/0!</v>
      </c>
      <c r="K377" s="722" t="e">
        <f t="shared" ref="K377:V377" si="120">(K376/K374)</f>
        <v>#DIV/0!</v>
      </c>
      <c r="L377" s="722" t="e">
        <f t="shared" si="120"/>
        <v>#DIV/0!</v>
      </c>
      <c r="M377" s="722" t="e">
        <f t="shared" si="120"/>
        <v>#DIV/0!</v>
      </c>
      <c r="N377" s="722" t="e">
        <f t="shared" si="120"/>
        <v>#DIV/0!</v>
      </c>
      <c r="O377" s="722">
        <f t="shared" si="120"/>
        <v>-1</v>
      </c>
      <c r="P377" s="722">
        <f t="shared" si="120"/>
        <v>-1</v>
      </c>
      <c r="Q377" s="722">
        <f t="shared" si="120"/>
        <v>-1</v>
      </c>
      <c r="R377" s="722">
        <f t="shared" si="120"/>
        <v>0</v>
      </c>
      <c r="S377" s="722">
        <f t="shared" si="120"/>
        <v>0</v>
      </c>
      <c r="T377" s="722">
        <f t="shared" si="120"/>
        <v>0</v>
      </c>
      <c r="U377" s="722">
        <f t="shared" si="120"/>
        <v>0</v>
      </c>
      <c r="V377" s="730">
        <f t="shared" si="120"/>
        <v>-0.40201995911987498</v>
      </c>
    </row>
    <row r="378" spans="8:22" hidden="1">
      <c r="H378" s="711" t="s">
        <v>237</v>
      </c>
      <c r="I378" s="725"/>
      <c r="J378" s="726">
        <f>J374*24</f>
        <v>0</v>
      </c>
      <c r="K378" s="726">
        <f t="shared" ref="K378:U378" si="121">K374*24</f>
        <v>0</v>
      </c>
      <c r="L378" s="726">
        <f t="shared" si="121"/>
        <v>0</v>
      </c>
      <c r="M378" s="726">
        <f t="shared" si="121"/>
        <v>0</v>
      </c>
      <c r="N378" s="726">
        <f t="shared" si="121"/>
        <v>0</v>
      </c>
      <c r="O378" s="726">
        <f t="shared" si="121"/>
        <v>1370.4</v>
      </c>
      <c r="P378" s="726">
        <f t="shared" si="121"/>
        <v>1420.08</v>
      </c>
      <c r="Q378" s="726">
        <f t="shared" si="121"/>
        <v>1221.8399999999999</v>
      </c>
      <c r="R378" s="726">
        <f t="shared" si="121"/>
        <v>1267.68</v>
      </c>
      <c r="S378" s="726">
        <v>1536</v>
      </c>
      <c r="T378" s="726">
        <f t="shared" si="121"/>
        <v>1709.28</v>
      </c>
      <c r="U378" s="726">
        <f t="shared" si="121"/>
        <v>1696.8000000000002</v>
      </c>
      <c r="V378" s="732"/>
    </row>
    <row r="379" spans="8:22" hidden="1">
      <c r="H379" s="712" t="s">
        <v>238</v>
      </c>
      <c r="I379" s="712"/>
      <c r="J379" s="727">
        <v>4.5</v>
      </c>
      <c r="K379" s="727">
        <v>5</v>
      </c>
      <c r="L379" s="727">
        <v>4</v>
      </c>
      <c r="M379" s="727">
        <v>4.5</v>
      </c>
      <c r="N379" s="727">
        <v>6</v>
      </c>
      <c r="O379" s="727">
        <v>6</v>
      </c>
      <c r="P379" s="727">
        <v>6</v>
      </c>
      <c r="Q379" s="727">
        <v>3</v>
      </c>
      <c r="R379" s="727">
        <v>2</v>
      </c>
      <c r="S379" s="727">
        <v>3.5</v>
      </c>
      <c r="T379" s="727">
        <v>4</v>
      </c>
      <c r="U379" s="727">
        <v>5</v>
      </c>
      <c r="V379" s="728"/>
    </row>
    <row r="380" spans="8:22" hidden="1">
      <c r="H380" s="712" t="s">
        <v>239</v>
      </c>
      <c r="I380" s="712"/>
      <c r="J380" s="728">
        <f t="shared" ref="J380:U380" si="122">J379*25</f>
        <v>112.5</v>
      </c>
      <c r="K380" s="728">
        <f t="shared" si="122"/>
        <v>125</v>
      </c>
      <c r="L380" s="728">
        <f t="shared" si="122"/>
        <v>100</v>
      </c>
      <c r="M380" s="728">
        <f t="shared" si="122"/>
        <v>112.5</v>
      </c>
      <c r="N380" s="728">
        <f t="shared" si="122"/>
        <v>150</v>
      </c>
      <c r="O380" s="728">
        <f t="shared" si="122"/>
        <v>150</v>
      </c>
      <c r="P380" s="728">
        <f t="shared" si="122"/>
        <v>150</v>
      </c>
      <c r="Q380" s="728">
        <f t="shared" si="122"/>
        <v>75</v>
      </c>
      <c r="R380" s="728">
        <f t="shared" si="122"/>
        <v>50</v>
      </c>
      <c r="S380" s="728">
        <v>87.5</v>
      </c>
      <c r="T380" s="728">
        <f t="shared" si="122"/>
        <v>100</v>
      </c>
      <c r="U380" s="728">
        <f t="shared" si="122"/>
        <v>125</v>
      </c>
      <c r="V380" s="728"/>
    </row>
    <row r="382" spans="8:22">
      <c r="P382" s="229"/>
    </row>
    <row r="383" spans="8:22">
      <c r="Q383" s="733"/>
    </row>
    <row r="396" spans="10:16">
      <c r="J396" s="221"/>
      <c r="K396" s="221"/>
      <c r="L396" s="221"/>
    </row>
    <row r="397" spans="10:16">
      <c r="J397" s="221"/>
      <c r="K397" s="221"/>
      <c r="L397" s="221"/>
    </row>
    <row r="398" spans="10:16">
      <c r="K398" s="219"/>
      <c r="L398" s="219"/>
      <c r="M398" s="219"/>
      <c r="N398" s="219"/>
      <c r="O398" s="219"/>
      <c r="P398" s="219"/>
    </row>
    <row r="399" spans="10:16">
      <c r="K399" s="219"/>
      <c r="L399" s="219"/>
      <c r="M399" s="219"/>
      <c r="N399" s="219"/>
      <c r="O399" s="219"/>
      <c r="P399" s="219"/>
    </row>
    <row r="400" spans="10:16">
      <c r="K400" s="219"/>
      <c r="L400" s="219"/>
      <c r="M400" s="219"/>
      <c r="N400" s="219"/>
      <c r="O400" s="219"/>
      <c r="P400" s="219"/>
    </row>
    <row r="401" spans="11:16">
      <c r="K401" s="219"/>
      <c r="L401" s="219"/>
      <c r="M401" s="219"/>
      <c r="N401" s="219"/>
      <c r="O401" s="219"/>
      <c r="P401" s="219"/>
    </row>
    <row r="402" spans="11:16">
      <c r="K402" s="219"/>
      <c r="L402" s="219"/>
      <c r="M402" s="219"/>
      <c r="N402" s="219"/>
      <c r="O402" s="219"/>
      <c r="P402" s="219"/>
    </row>
    <row r="403" spans="11:16">
      <c r="K403" s="219"/>
      <c r="L403" s="219"/>
      <c r="M403" s="219"/>
      <c r="N403" s="219"/>
      <c r="O403" s="219"/>
      <c r="P403" s="219"/>
    </row>
    <row r="404" spans="11:16">
      <c r="K404" s="219"/>
      <c r="L404" s="219"/>
      <c r="M404" s="219"/>
      <c r="N404" s="219"/>
      <c r="O404" s="219"/>
      <c r="P404" s="219"/>
    </row>
    <row r="405" spans="11:16">
      <c r="K405" s="219"/>
      <c r="L405" s="219"/>
      <c r="M405" s="219"/>
      <c r="N405" s="219"/>
      <c r="O405" s="219"/>
      <c r="P405" s="219"/>
    </row>
    <row r="406" spans="11:16">
      <c r="K406" s="219"/>
      <c r="L406" s="219"/>
      <c r="M406" s="219"/>
      <c r="N406" s="219"/>
      <c r="O406" s="219"/>
      <c r="P406" s="219"/>
    </row>
    <row r="407" spans="11:16">
      <c r="K407" s="219"/>
      <c r="L407" s="219"/>
      <c r="M407" s="219"/>
      <c r="N407" s="219"/>
      <c r="O407" s="219"/>
      <c r="P407" s="219"/>
    </row>
    <row r="408" spans="11:16">
      <c r="K408" s="219"/>
      <c r="L408" s="219"/>
      <c r="M408" s="219"/>
      <c r="N408" s="219"/>
      <c r="O408" s="219"/>
      <c r="P408" s="219"/>
    </row>
    <row r="409" spans="11:16">
      <c r="K409" s="219"/>
      <c r="L409" s="219"/>
      <c r="M409" s="219"/>
      <c r="N409" s="219"/>
      <c r="O409" s="219"/>
      <c r="P409" s="219"/>
    </row>
    <row r="410" spans="11:16">
      <c r="K410" s="219"/>
      <c r="L410" s="219"/>
      <c r="M410" s="219"/>
      <c r="N410" s="219"/>
      <c r="O410" s="219"/>
      <c r="P410" s="219"/>
    </row>
    <row r="411" spans="11:16">
      <c r="K411" s="219"/>
      <c r="L411" s="219"/>
      <c r="M411" s="219"/>
      <c r="N411" s="219"/>
      <c r="O411" s="219"/>
      <c r="P411" s="219"/>
    </row>
    <row r="412" spans="11:16">
      <c r="K412" s="219"/>
      <c r="L412" s="219"/>
      <c r="M412" s="219"/>
      <c r="N412" s="219"/>
      <c r="O412" s="219"/>
      <c r="P412" s="219"/>
    </row>
    <row r="413" spans="11:16">
      <c r="K413" s="219"/>
      <c r="L413" s="219"/>
      <c r="M413" s="219"/>
      <c r="N413" s="219"/>
      <c r="O413" s="219"/>
      <c r="P413" s="219"/>
    </row>
    <row r="414" spans="11:16">
      <c r="K414" s="219"/>
      <c r="L414" s="219"/>
      <c r="M414" s="219"/>
      <c r="N414" s="219"/>
      <c r="O414" s="219"/>
      <c r="P414" s="219"/>
    </row>
    <row r="415" spans="11:16">
      <c r="K415" s="219"/>
      <c r="L415" s="219"/>
      <c r="M415" s="219"/>
      <c r="N415" s="219"/>
      <c r="O415" s="219"/>
      <c r="P415" s="219"/>
    </row>
  </sheetData>
  <sheetProtection formatCells="0" formatColumns="0" formatRows="0"/>
  <mergeCells count="101">
    <mergeCell ref="C346:D346"/>
    <mergeCell ref="C347:D347"/>
    <mergeCell ref="C262:D262"/>
    <mergeCell ref="C263:D263"/>
    <mergeCell ref="C266:D266"/>
    <mergeCell ref="C267:D267"/>
    <mergeCell ref="C268:D268"/>
    <mergeCell ref="C269:D269"/>
    <mergeCell ref="C274:D274"/>
    <mergeCell ref="C276:D276"/>
    <mergeCell ref="C277:D277"/>
    <mergeCell ref="C330:C336"/>
    <mergeCell ref="C337:C343"/>
    <mergeCell ref="C287:E287"/>
    <mergeCell ref="C288:C294"/>
    <mergeCell ref="C295:C301"/>
    <mergeCell ref="C302:C308"/>
    <mergeCell ref="C309:C315"/>
    <mergeCell ref="C316:C322"/>
    <mergeCell ref="C323:C329"/>
    <mergeCell ref="C281:D281"/>
    <mergeCell ref="C282:D282"/>
    <mergeCell ref="C283:D283"/>
    <mergeCell ref="C231:D231"/>
    <mergeCell ref="C232:D232"/>
    <mergeCell ref="C233:D233"/>
    <mergeCell ref="C203:C206"/>
    <mergeCell ref="C212:C216"/>
    <mergeCell ref="C223:C225"/>
    <mergeCell ref="D211:E211"/>
    <mergeCell ref="F181:AK181"/>
    <mergeCell ref="F185:AK185"/>
    <mergeCell ref="F189:AK189"/>
    <mergeCell ref="D193:E193"/>
    <mergeCell ref="F193:AK193"/>
    <mergeCell ref="D194:E194"/>
    <mergeCell ref="D198:E198"/>
    <mergeCell ref="D212:E212"/>
    <mergeCell ref="D216:E216"/>
    <mergeCell ref="D223:E223"/>
    <mergeCell ref="D224:E224"/>
    <mergeCell ref="D225:E225"/>
    <mergeCell ref="C228:D228"/>
    <mergeCell ref="C229:D229"/>
    <mergeCell ref="C230:D230"/>
    <mergeCell ref="D195:D197"/>
    <mergeCell ref="D213:D215"/>
    <mergeCell ref="C234:D234"/>
    <mergeCell ref="C235:D235"/>
    <mergeCell ref="C236:D236"/>
    <mergeCell ref="C237:D237"/>
    <mergeCell ref="C240:D240"/>
    <mergeCell ref="C245:D245"/>
    <mergeCell ref="C278:D278"/>
    <mergeCell ref="C279:D279"/>
    <mergeCell ref="C280:D280"/>
    <mergeCell ref="C247:D247"/>
    <mergeCell ref="C248:D248"/>
    <mergeCell ref="C249:D249"/>
    <mergeCell ref="C252:D252"/>
    <mergeCell ref="C254:D254"/>
    <mergeCell ref="C255:D255"/>
    <mergeCell ref="C256:D256"/>
    <mergeCell ref="C259:D259"/>
    <mergeCell ref="C261:D261"/>
    <mergeCell ref="C4:C7"/>
    <mergeCell ref="C8:C11"/>
    <mergeCell ref="C56:C59"/>
    <mergeCell ref="C60:C63"/>
    <mergeCell ref="C67:C141"/>
    <mergeCell ref="C142:C156"/>
    <mergeCell ref="C163:C165"/>
    <mergeCell ref="C166:C168"/>
    <mergeCell ref="C181:C188"/>
    <mergeCell ref="C157:D157"/>
    <mergeCell ref="D172:E172"/>
    <mergeCell ref="D67:D156"/>
    <mergeCell ref="H366:H369"/>
    <mergeCell ref="H370:H373"/>
    <mergeCell ref="H374:H377"/>
    <mergeCell ref="AL60:AL63"/>
    <mergeCell ref="AL163:AL165"/>
    <mergeCell ref="AL166:AL168"/>
    <mergeCell ref="C12:D16"/>
    <mergeCell ref="B48:D52"/>
    <mergeCell ref="C38:D42"/>
    <mergeCell ref="C17:D21"/>
    <mergeCell ref="C22:D26"/>
    <mergeCell ref="C27:D31"/>
    <mergeCell ref="C32:D36"/>
    <mergeCell ref="C43:D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B12:B42"/>
    <mergeCell ref="C189:C198"/>
  </mergeCells>
  <pageMargins left="0.7" right="0.7" top="0.75" bottom="0.75" header="0.3" footer="0.3"/>
  <pageSetup paperSize="256" scale="63" orientation="landscape" horizontalDpi="300" verticalDpi="300" r:id="rId1"/>
  <ignoredErrors>
    <ignoredError sqref="AL115:AL117" evalError="1"/>
    <ignoredError sqref="E259:AI259 E245:AI245 E252:AI252 E274:AI274 E228:AI228 F172:AC172 F66:AJ66 F3:AJ3 AF172 AH172:AJ172" numberStoredAsText="1"/>
    <ignoredError sqref="AK222 AI151 AI94 AI97 AK16 AK21 AK26 L139 L109 L115 AI127 AI130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50"/>
    <pageSetUpPr fitToPage="1"/>
  </sheetPr>
  <dimension ref="B2:AT335"/>
  <sheetViews>
    <sheetView zoomScale="70" zoomScaleNormal="70" workbookViewId="0">
      <pane xSplit="4" ySplit="3" topLeftCell="E4" activePane="bottomRight" state="frozen"/>
      <selection pane="topRight"/>
      <selection pane="bottomLeft"/>
      <selection pane="bottomRight" activeCell="AO45" sqref="AO45"/>
    </sheetView>
  </sheetViews>
  <sheetFormatPr defaultColWidth="9.33203125" defaultRowHeight="14.4"/>
  <cols>
    <col min="1" max="1" width="9.33203125" style="184"/>
    <col min="2" max="2" width="41.33203125" style="184" customWidth="1"/>
    <col min="3" max="3" width="12.33203125" style="184" customWidth="1"/>
    <col min="4" max="4" width="11.6640625" style="184" customWidth="1"/>
    <col min="5" max="5" width="13.33203125" style="184" customWidth="1"/>
    <col min="6" max="6" width="14.44140625" style="184" customWidth="1"/>
    <col min="7" max="8" width="11.6640625" style="184" customWidth="1"/>
    <col min="9" max="9" width="13.5546875" style="184" customWidth="1"/>
    <col min="10" max="11" width="11.6640625" style="184" customWidth="1"/>
    <col min="12" max="12" width="13.33203125" style="184" customWidth="1"/>
    <col min="13" max="14" width="11.6640625" style="184" customWidth="1"/>
    <col min="15" max="15" width="12.6640625" style="184" customWidth="1"/>
    <col min="16" max="16" width="11.6640625" style="184" customWidth="1"/>
    <col min="17" max="17" width="17.5546875" style="184" customWidth="1"/>
    <col min="18" max="18" width="9.33203125" style="184"/>
    <col min="19" max="20" width="16.44140625" style="184" customWidth="1"/>
    <col min="21" max="16384" width="9.33203125" style="184"/>
  </cols>
  <sheetData>
    <row r="2" spans="2:21" ht="17.399999999999999">
      <c r="B2" s="316" t="str">
        <f>"Plan Budget "&amp;MID(Outlook!B2,9,16)</f>
        <v>Plan Budget Production 2026</v>
      </c>
      <c r="C2" s="187"/>
      <c r="D2" s="187"/>
      <c r="E2" s="317" t="str">
        <f>IF(Outlook!F2="ACTUAL","PLANED","PLAN")</f>
        <v>PLANED</v>
      </c>
      <c r="F2" s="317" t="str">
        <f>IF(Outlook!G2="ACTUAL","PLANED","PLAN")</f>
        <v>PLANED</v>
      </c>
      <c r="G2" s="317" t="str">
        <f>IF(Outlook!H2="ACTUAL","PLANED","PLAN")</f>
        <v>PLANED</v>
      </c>
      <c r="H2" s="317" t="str">
        <f>IF(Outlook!I2="ACTUAL","PLANED","PLAN")</f>
        <v>PLANED</v>
      </c>
      <c r="I2" s="317" t="str">
        <f>IF(Outlook!J2="ACTUAL","PLANED","PLAN")</f>
        <v>PLANED</v>
      </c>
      <c r="J2" s="317" t="str">
        <f>IF(Outlook!K2="ACTUAL","PLANED","PLAN")</f>
        <v>PLANED</v>
      </c>
      <c r="K2" s="317" t="str">
        <f>IF(Outlook!L2="ACTUAL","PLANED","PLAN")</f>
        <v>PLANED</v>
      </c>
      <c r="L2" s="317" t="str">
        <f>IF(Outlook!M2="ACTUAL","PLANED","PLAN")</f>
        <v>PLANED</v>
      </c>
      <c r="M2" s="317" t="str">
        <f>IF(Outlook!N2="ACTUAL","PLANED","PLAN")</f>
        <v>PLAN</v>
      </c>
      <c r="N2" s="317" t="str">
        <f>IF(Outlook!O2="ACTUAL","PLANED","PLAN")</f>
        <v>PLAN</v>
      </c>
      <c r="O2" s="317" t="str">
        <f>IF(Outlook!P2="ACTUAL","PLANED","PLAN")</f>
        <v>PLAN</v>
      </c>
      <c r="P2" s="317" t="str">
        <f>IF(Outlook!Q2="ACTUAL","PLANED","PLAN")</f>
        <v>PLAN</v>
      </c>
      <c r="Q2" s="317" t="str">
        <f>IF(Outlook!R2="ACTUAL","PLANED","PLAN")</f>
        <v>PLAN</v>
      </c>
    </row>
    <row r="3" spans="2:21" ht="20.100000000000001" customHeight="1">
      <c r="B3" s="318"/>
      <c r="C3" s="319" t="s">
        <v>240</v>
      </c>
      <c r="D3" s="190" t="str">
        <f>Outlook!E3</f>
        <v>EOP 2025</v>
      </c>
      <c r="E3" s="320" t="s">
        <v>3</v>
      </c>
      <c r="F3" s="320" t="s">
        <v>241</v>
      </c>
      <c r="G3" s="320" t="s">
        <v>242</v>
      </c>
      <c r="H3" s="320" t="s">
        <v>243</v>
      </c>
      <c r="I3" s="320" t="s">
        <v>244</v>
      </c>
      <c r="J3" s="320" t="s">
        <v>245</v>
      </c>
      <c r="K3" s="320" t="s">
        <v>246</v>
      </c>
      <c r="L3" s="320" t="s">
        <v>247</v>
      </c>
      <c r="M3" s="320" t="s">
        <v>248</v>
      </c>
      <c r="N3" s="320" t="s">
        <v>249</v>
      </c>
      <c r="O3" s="320" t="s">
        <v>250</v>
      </c>
      <c r="P3" s="320" t="s">
        <v>251</v>
      </c>
      <c r="Q3" s="346" t="s">
        <v>110</v>
      </c>
    </row>
    <row r="4" spans="2:21" ht="22.2" customHeight="1">
      <c r="B4" s="321" t="s">
        <v>252</v>
      </c>
      <c r="C4" s="322" t="s">
        <v>35</v>
      </c>
      <c r="D4" s="322"/>
      <c r="E4" s="323">
        <v>0</v>
      </c>
      <c r="F4" s="323">
        <v>0</v>
      </c>
      <c r="G4" s="323">
        <v>0</v>
      </c>
      <c r="H4" s="323">
        <v>385020</v>
      </c>
      <c r="I4" s="323">
        <v>431760</v>
      </c>
      <c r="J4" s="323">
        <v>438800</v>
      </c>
      <c r="K4" s="323">
        <v>397343</v>
      </c>
      <c r="L4" s="323">
        <v>407685</v>
      </c>
      <c r="M4" s="323">
        <v>424996</v>
      </c>
      <c r="N4" s="323">
        <v>373506</v>
      </c>
      <c r="O4" s="323">
        <v>275870</v>
      </c>
      <c r="P4" s="323">
        <v>272787</v>
      </c>
      <c r="Q4" s="347">
        <f>SUM(E4:P4)</f>
        <v>3407767</v>
      </c>
      <c r="S4" s="336">
        <f>SUM(E4:J4)</f>
        <v>1255580</v>
      </c>
      <c r="T4" s="221">
        <v>47865</v>
      </c>
      <c r="U4" s="229">
        <f>(T4/S4)*1</f>
        <v>3.812182417687443E-2</v>
      </c>
    </row>
    <row r="5" spans="2:21" ht="22.2" customHeight="1">
      <c r="B5" s="321" t="s">
        <v>57</v>
      </c>
      <c r="C5" s="322" t="s">
        <v>253</v>
      </c>
      <c r="D5" s="322"/>
      <c r="E5" s="323">
        <v>0</v>
      </c>
      <c r="F5" s="323">
        <v>0</v>
      </c>
      <c r="G5" s="323">
        <v>0</v>
      </c>
      <c r="H5" s="323">
        <v>17001</v>
      </c>
      <c r="I5" s="323">
        <v>47759</v>
      </c>
      <c r="J5" s="323">
        <v>56990</v>
      </c>
      <c r="K5" s="323">
        <v>62730</v>
      </c>
      <c r="L5" s="323">
        <v>65795</v>
      </c>
      <c r="M5" s="323">
        <v>65645</v>
      </c>
      <c r="N5" s="323">
        <v>68584</v>
      </c>
      <c r="O5" s="323">
        <v>73282</v>
      </c>
      <c r="P5" s="323">
        <v>82213</v>
      </c>
      <c r="Q5" s="347">
        <f>SUM(E5:P5)</f>
        <v>539999</v>
      </c>
      <c r="S5" s="336">
        <f>SUM(E5:J5)</f>
        <v>121750</v>
      </c>
      <c r="T5" s="221"/>
    </row>
    <row r="6" spans="2:21" ht="22.2" customHeight="1">
      <c r="B6" s="321" t="s">
        <v>12</v>
      </c>
      <c r="C6" s="324" t="s">
        <v>39</v>
      </c>
      <c r="D6" s="325"/>
      <c r="E6" s="326">
        <v>0</v>
      </c>
      <c r="F6" s="326">
        <v>0</v>
      </c>
      <c r="G6" s="326">
        <v>0</v>
      </c>
      <c r="H6" s="326">
        <f>H4/H5</f>
        <v>22.646903123345684</v>
      </c>
      <c r="I6" s="326">
        <f t="shared" ref="I6:P6" si="0">I4/I5</f>
        <v>9.0403902929290822</v>
      </c>
      <c r="J6" s="326">
        <f t="shared" si="0"/>
        <v>7.6995964204246361</v>
      </c>
      <c r="K6" s="326">
        <f t="shared" si="0"/>
        <v>6.3341782241351829</v>
      </c>
      <c r="L6" s="326">
        <f t="shared" si="0"/>
        <v>6.1962915115130333</v>
      </c>
      <c r="M6" s="326">
        <f t="shared" si="0"/>
        <v>6.4741564475588396</v>
      </c>
      <c r="N6" s="326">
        <f t="shared" si="0"/>
        <v>5.4459640732532373</v>
      </c>
      <c r="O6" s="326">
        <f t="shared" si="0"/>
        <v>3.7644987855134957</v>
      </c>
      <c r="P6" s="326">
        <f t="shared" si="0"/>
        <v>3.3180518896038338</v>
      </c>
      <c r="Q6" s="326">
        <f>IF(Q4=0,0,IF(Q5=0,0,Q4/Q5))</f>
        <v>6.3106913160950295</v>
      </c>
      <c r="S6" s="221"/>
      <c r="T6" s="221"/>
    </row>
    <row r="7" spans="2:21" ht="22.2" customHeight="1">
      <c r="B7" s="321" t="s">
        <v>172</v>
      </c>
      <c r="C7" s="322" t="s">
        <v>253</v>
      </c>
      <c r="D7" s="327">
        <v>0</v>
      </c>
      <c r="E7" s="328">
        <v>0</v>
      </c>
      <c r="F7" s="328">
        <v>0</v>
      </c>
      <c r="G7" s="328">
        <v>0</v>
      </c>
      <c r="H7" s="328">
        <v>0</v>
      </c>
      <c r="I7" s="328">
        <v>5758.93</v>
      </c>
      <c r="J7" s="328">
        <v>11692</v>
      </c>
      <c r="K7" s="328">
        <v>17305</v>
      </c>
      <c r="L7" s="328">
        <v>21927</v>
      </c>
      <c r="M7" s="328">
        <v>12353</v>
      </c>
      <c r="N7" s="328">
        <v>4813</v>
      </c>
      <c r="O7" s="328">
        <v>10047</v>
      </c>
      <c r="P7" s="328">
        <v>2160</v>
      </c>
      <c r="Q7" s="348"/>
    </row>
    <row r="8" spans="2:21" ht="22.2" customHeight="1">
      <c r="B8" s="321" t="s">
        <v>41</v>
      </c>
      <c r="C8" s="322" t="s">
        <v>253</v>
      </c>
      <c r="D8" s="329"/>
      <c r="E8" s="330">
        <v>0</v>
      </c>
      <c r="F8" s="330">
        <v>0</v>
      </c>
      <c r="G8" s="330">
        <v>0</v>
      </c>
      <c r="H8" s="330">
        <v>17001</v>
      </c>
      <c r="I8" s="330">
        <v>42000</v>
      </c>
      <c r="J8" s="330">
        <v>51000</v>
      </c>
      <c r="K8" s="330">
        <v>57000</v>
      </c>
      <c r="L8" s="330">
        <v>61000</v>
      </c>
      <c r="M8" s="330">
        <v>75000</v>
      </c>
      <c r="N8" s="330">
        <v>76000</v>
      </c>
      <c r="O8" s="330">
        <v>68000</v>
      </c>
      <c r="P8" s="330">
        <v>90000</v>
      </c>
      <c r="Q8" s="349">
        <f>SUM(E8:P8)</f>
        <v>537001</v>
      </c>
      <c r="S8" s="221"/>
    </row>
    <row r="9" spans="2:21" ht="22.2" customHeight="1">
      <c r="B9" s="331" t="s">
        <v>176</v>
      </c>
      <c r="C9" s="332" t="s">
        <v>253</v>
      </c>
      <c r="D9" s="327">
        <v>11.7420000000002</v>
      </c>
      <c r="E9" s="328">
        <v>0</v>
      </c>
      <c r="F9" s="328">
        <v>0</v>
      </c>
      <c r="G9" s="328">
        <v>0</v>
      </c>
      <c r="H9" s="328">
        <v>9701</v>
      </c>
      <c r="I9" s="328">
        <v>29704</v>
      </c>
      <c r="J9" s="328">
        <v>22007</v>
      </c>
      <c r="K9" s="328">
        <v>20387</v>
      </c>
      <c r="L9" s="328">
        <v>22783</v>
      </c>
      <c r="M9" s="328">
        <v>24556</v>
      </c>
      <c r="N9" s="328">
        <v>20010</v>
      </c>
      <c r="O9" s="328">
        <v>210</v>
      </c>
      <c r="P9" s="328">
        <v>9908</v>
      </c>
      <c r="Q9" s="350"/>
    </row>
    <row r="10" spans="2:21" ht="22.2" customHeight="1">
      <c r="B10" s="321" t="s">
        <v>42</v>
      </c>
      <c r="C10" s="322" t="s">
        <v>253</v>
      </c>
      <c r="D10" s="333"/>
      <c r="E10" s="333">
        <v>0</v>
      </c>
      <c r="F10" s="333">
        <v>0</v>
      </c>
      <c r="G10" s="333">
        <v>0</v>
      </c>
      <c r="H10" s="333">
        <v>7300</v>
      </c>
      <c r="I10" s="333">
        <v>21900</v>
      </c>
      <c r="J10" s="333">
        <v>58400</v>
      </c>
      <c r="K10" s="333">
        <v>58400</v>
      </c>
      <c r="L10" s="333">
        <v>58400</v>
      </c>
      <c r="M10" s="333">
        <v>73000</v>
      </c>
      <c r="N10" s="333">
        <v>80300</v>
      </c>
      <c r="O10" s="333">
        <v>87600</v>
      </c>
      <c r="P10" s="333">
        <v>80300</v>
      </c>
      <c r="Q10" s="349">
        <f>SUM(E10:P10)</f>
        <v>525600</v>
      </c>
    </row>
    <row r="11" spans="2:21" ht="22.2" customHeight="1">
      <c r="B11" s="321" t="s">
        <v>177</v>
      </c>
      <c r="C11" s="322" t="s">
        <v>253</v>
      </c>
      <c r="D11" s="333"/>
      <c r="E11" s="333">
        <v>0</v>
      </c>
      <c r="F11" s="333">
        <v>0</v>
      </c>
      <c r="G11" s="333">
        <v>0</v>
      </c>
      <c r="H11" s="333">
        <v>0</v>
      </c>
      <c r="I11" s="333">
        <v>0</v>
      </c>
      <c r="J11" s="333">
        <v>0</v>
      </c>
      <c r="K11" s="333">
        <v>0</v>
      </c>
      <c r="L11" s="333">
        <v>0</v>
      </c>
      <c r="M11" s="333">
        <v>0</v>
      </c>
      <c r="N11" s="333">
        <v>0</v>
      </c>
      <c r="O11" s="333">
        <v>0</v>
      </c>
      <c r="P11" s="333">
        <v>0</v>
      </c>
      <c r="Q11" s="349"/>
    </row>
    <row r="12" spans="2:21" ht="22.2" customHeight="1">
      <c r="B12" s="321" t="s">
        <v>45</v>
      </c>
      <c r="C12" s="322" t="s">
        <v>46</v>
      </c>
      <c r="D12" s="323"/>
      <c r="E12" s="323">
        <v>142.1</v>
      </c>
      <c r="F12" s="323">
        <v>81.2</v>
      </c>
      <c r="G12" s="323">
        <v>15.999999999999998</v>
      </c>
      <c r="H12" s="323">
        <v>33.5</v>
      </c>
      <c r="I12" s="323">
        <v>137.5</v>
      </c>
      <c r="J12" s="323">
        <v>526.05113488452798</v>
      </c>
      <c r="K12" s="323">
        <v>258.061896084718</v>
      </c>
      <c r="L12" s="323">
        <v>163.06851204586999</v>
      </c>
      <c r="M12" s="323">
        <v>178.824952921749</v>
      </c>
      <c r="N12" s="323">
        <v>121.50335060536599</v>
      </c>
      <c r="O12" s="323">
        <v>175.554552241594</v>
      </c>
      <c r="P12" s="323">
        <v>254.38112862241999</v>
      </c>
      <c r="Q12" s="323">
        <f>SUM(E12:P12)</f>
        <v>2087.7455274062449</v>
      </c>
    </row>
    <row r="13" spans="2:21" ht="22.2" customHeight="1">
      <c r="B13" s="321" t="s">
        <v>47</v>
      </c>
      <c r="C13" s="322" t="s">
        <v>254</v>
      </c>
      <c r="D13" s="323"/>
      <c r="E13" s="323">
        <v>88.416666666569654</v>
      </c>
      <c r="F13" s="323">
        <v>74.53333333338378</v>
      </c>
      <c r="G13" s="323">
        <v>13.983333333337214</v>
      </c>
      <c r="H13" s="323">
        <v>37.299999999871943</v>
      </c>
      <c r="I13" s="323">
        <v>93.083333333954215</v>
      </c>
      <c r="J13" s="323">
        <v>189</v>
      </c>
      <c r="K13" s="323">
        <v>151.4</v>
      </c>
      <c r="L13" s="323">
        <v>88.26</v>
      </c>
      <c r="M13" s="323">
        <v>41.39</v>
      </c>
      <c r="N13" s="323">
        <v>108.52</v>
      </c>
      <c r="O13" s="323">
        <v>105.96</v>
      </c>
      <c r="P13" s="323">
        <v>126.02</v>
      </c>
      <c r="Q13" s="323">
        <f>SUM(E13:P13)</f>
        <v>1117.8666666671168</v>
      </c>
    </row>
    <row r="14" spans="2:21" ht="22.2" customHeight="1">
      <c r="B14" s="321" t="s">
        <v>49</v>
      </c>
      <c r="C14" s="322" t="s">
        <v>48</v>
      </c>
      <c r="D14" s="323"/>
      <c r="E14" s="323">
        <v>0</v>
      </c>
      <c r="F14" s="323">
        <v>0</v>
      </c>
      <c r="G14" s="323">
        <v>0</v>
      </c>
      <c r="H14" s="323">
        <v>0</v>
      </c>
      <c r="I14" s="323">
        <v>0</v>
      </c>
      <c r="J14" s="323">
        <v>57.1</v>
      </c>
      <c r="K14" s="323">
        <v>59.17</v>
      </c>
      <c r="L14" s="323">
        <v>50.91</v>
      </c>
      <c r="M14" s="323">
        <v>52.82</v>
      </c>
      <c r="N14" s="323">
        <v>53.93</v>
      </c>
      <c r="O14" s="323">
        <v>71.22</v>
      </c>
      <c r="P14" s="323">
        <v>70.7</v>
      </c>
      <c r="Q14" s="323">
        <f>SUM(E14:P14)</f>
        <v>415.84999999999997</v>
      </c>
    </row>
    <row r="15" spans="2:21" ht="22.2" customHeight="1">
      <c r="B15" s="321" t="s">
        <v>50</v>
      </c>
      <c r="C15" s="322" t="s">
        <v>255</v>
      </c>
      <c r="D15" s="323"/>
      <c r="E15" s="323">
        <v>35000</v>
      </c>
      <c r="F15" s="323">
        <v>35000</v>
      </c>
      <c r="G15" s="323">
        <v>35000</v>
      </c>
      <c r="H15" s="323">
        <v>35000</v>
      </c>
      <c r="I15" s="323">
        <v>35000</v>
      </c>
      <c r="J15" s="323">
        <v>35000</v>
      </c>
      <c r="K15" s="323">
        <v>35000</v>
      </c>
      <c r="L15" s="323">
        <v>35000</v>
      </c>
      <c r="M15" s="323">
        <v>35000</v>
      </c>
      <c r="N15" s="323">
        <v>35000</v>
      </c>
      <c r="O15" s="323">
        <v>35000</v>
      </c>
      <c r="P15" s="323">
        <v>35000</v>
      </c>
      <c r="Q15" s="351"/>
    </row>
    <row r="16" spans="2:21"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</row>
    <row r="17" spans="2:46">
      <c r="B17" s="334" t="s">
        <v>256</v>
      </c>
      <c r="E17" s="335">
        <f>E13+E14</f>
        <v>88.416666666569654</v>
      </c>
      <c r="F17" s="335"/>
      <c r="G17" s="336"/>
      <c r="H17" s="335"/>
      <c r="I17" s="335"/>
      <c r="J17" s="336"/>
      <c r="K17" s="335"/>
      <c r="L17" s="335"/>
      <c r="M17" s="336"/>
      <c r="N17" s="335"/>
      <c r="O17" s="335"/>
      <c r="P17" s="336"/>
    </row>
    <row r="18" spans="2:46"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</row>
    <row r="19" spans="2:46"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</row>
    <row r="20" spans="2:46">
      <c r="E20" s="1070" t="s">
        <v>738</v>
      </c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1"/>
      <c r="S20" s="1070" t="s">
        <v>736</v>
      </c>
      <c r="T20" s="1070"/>
      <c r="U20" s="1070"/>
      <c r="V20" s="1070"/>
      <c r="W20" s="1070"/>
      <c r="X20" s="1070"/>
      <c r="Y20" s="1070"/>
      <c r="Z20" s="1070"/>
      <c r="AA20" s="1070"/>
      <c r="AB20" s="1070"/>
      <c r="AC20" s="1070"/>
      <c r="AD20" s="1070"/>
      <c r="AE20" s="1070"/>
      <c r="AF20" s="1071"/>
      <c r="AG20" s="1070" t="s">
        <v>737</v>
      </c>
      <c r="AH20" s="1070"/>
      <c r="AI20" s="1070"/>
      <c r="AJ20" s="1070"/>
      <c r="AK20" s="1070"/>
      <c r="AL20" s="1070"/>
      <c r="AM20" s="1070"/>
      <c r="AN20" s="1070"/>
      <c r="AO20" s="1070"/>
      <c r="AP20" s="1070"/>
      <c r="AQ20" s="1070"/>
      <c r="AR20" s="1070"/>
      <c r="AS20" s="1070"/>
      <c r="AT20" s="1071"/>
    </row>
    <row r="21" spans="2:46"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1072" t="s">
        <v>257</v>
      </c>
      <c r="R21" s="1073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1072" t="s">
        <v>735</v>
      </c>
      <c r="AF21" s="1073"/>
      <c r="AG21" s="337"/>
      <c r="AH21" s="337"/>
      <c r="AI21" s="337"/>
      <c r="AJ21" s="337"/>
      <c r="AK21" s="337"/>
      <c r="AL21" s="337"/>
      <c r="AM21" s="337"/>
      <c r="AN21" s="337"/>
      <c r="AO21" s="337"/>
      <c r="AP21" s="337"/>
      <c r="AQ21" s="337"/>
      <c r="AR21" s="337"/>
      <c r="AS21" s="1072" t="s">
        <v>257</v>
      </c>
      <c r="AT21" s="1073"/>
    </row>
    <row r="22" spans="2:46">
      <c r="E22" s="338"/>
      <c r="F22" s="339" t="s">
        <v>221</v>
      </c>
      <c r="G22" s="339" t="s">
        <v>222</v>
      </c>
      <c r="H22" s="339" t="s">
        <v>223</v>
      </c>
      <c r="I22" s="339" t="s">
        <v>224</v>
      </c>
      <c r="J22" s="339" t="s">
        <v>225</v>
      </c>
      <c r="K22" s="339" t="s">
        <v>226</v>
      </c>
      <c r="L22" s="339" t="s">
        <v>227</v>
      </c>
      <c r="M22" s="339" t="s">
        <v>228</v>
      </c>
      <c r="N22" s="339" t="s">
        <v>229</v>
      </c>
      <c r="O22" s="339" t="s">
        <v>230</v>
      </c>
      <c r="P22" s="339" t="s">
        <v>231</v>
      </c>
      <c r="Q22" s="339" t="s">
        <v>232</v>
      </c>
      <c r="R22" s="339" t="s">
        <v>110</v>
      </c>
      <c r="S22" s="338"/>
      <c r="T22" s="339" t="s">
        <v>221</v>
      </c>
      <c r="U22" s="339" t="s">
        <v>222</v>
      </c>
      <c r="V22" s="339" t="s">
        <v>223</v>
      </c>
      <c r="W22" s="339" t="s">
        <v>224</v>
      </c>
      <c r="X22" s="339" t="s">
        <v>225</v>
      </c>
      <c r="Y22" s="339" t="s">
        <v>226</v>
      </c>
      <c r="Z22" s="339" t="s">
        <v>227</v>
      </c>
      <c r="AA22" s="339" t="s">
        <v>228</v>
      </c>
      <c r="AB22" s="339" t="s">
        <v>229</v>
      </c>
      <c r="AC22" s="339" t="s">
        <v>230</v>
      </c>
      <c r="AD22" s="339" t="s">
        <v>231</v>
      </c>
      <c r="AE22" s="339" t="s">
        <v>232</v>
      </c>
      <c r="AF22" s="339" t="s">
        <v>110</v>
      </c>
      <c r="AG22" s="338"/>
      <c r="AH22" s="339" t="s">
        <v>221</v>
      </c>
      <c r="AI22" s="339" t="s">
        <v>222</v>
      </c>
      <c r="AJ22" s="339" t="s">
        <v>223</v>
      </c>
      <c r="AK22" s="339" t="s">
        <v>224</v>
      </c>
      <c r="AL22" s="339" t="s">
        <v>225</v>
      </c>
      <c r="AM22" s="339" t="s">
        <v>226</v>
      </c>
      <c r="AN22" s="339" t="s">
        <v>227</v>
      </c>
      <c r="AO22" s="339" t="s">
        <v>228</v>
      </c>
      <c r="AP22" s="339" t="s">
        <v>229</v>
      </c>
      <c r="AQ22" s="339" t="s">
        <v>230</v>
      </c>
      <c r="AR22" s="339" t="s">
        <v>231</v>
      </c>
      <c r="AS22" s="339" t="s">
        <v>232</v>
      </c>
      <c r="AT22" s="339" t="s">
        <v>110</v>
      </c>
    </row>
    <row r="23" spans="2:46">
      <c r="E23" s="340">
        <v>2004</v>
      </c>
      <c r="F23" s="341">
        <v>292.2</v>
      </c>
      <c r="G23" s="341">
        <v>108.6</v>
      </c>
      <c r="H23" s="341">
        <v>333.4</v>
      </c>
      <c r="I23" s="341">
        <v>196</v>
      </c>
      <c r="J23" s="341">
        <v>324.60000000000002</v>
      </c>
      <c r="K23" s="341">
        <v>82.2</v>
      </c>
      <c r="L23" s="341">
        <v>79</v>
      </c>
      <c r="M23" s="341">
        <v>30</v>
      </c>
      <c r="N23" s="341">
        <v>36.4</v>
      </c>
      <c r="O23" s="341">
        <v>83.4</v>
      </c>
      <c r="P23" s="341">
        <v>55.6</v>
      </c>
      <c r="Q23" s="341">
        <v>148.69999999999999</v>
      </c>
      <c r="R23" s="352">
        <f t="shared" ref="R23:R48" si="1">SUM(F23:Q23)</f>
        <v>1770.1000000000001</v>
      </c>
      <c r="S23" s="340">
        <v>2004</v>
      </c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52">
        <f t="shared" ref="AF23:AF48" si="2">SUM(T23:AE23)</f>
        <v>0</v>
      </c>
      <c r="AG23" s="340">
        <v>2004</v>
      </c>
      <c r="AH23" s="341"/>
      <c r="AI23" s="341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52">
        <f t="shared" ref="AT23:AT48" si="3">SUM(AH23:AS23)</f>
        <v>0</v>
      </c>
    </row>
    <row r="24" spans="2:46">
      <c r="E24" s="340">
        <v>2005</v>
      </c>
      <c r="F24" s="341">
        <v>199.3</v>
      </c>
      <c r="G24" s="341">
        <v>507</v>
      </c>
      <c r="H24" s="341">
        <v>376.5</v>
      </c>
      <c r="I24" s="341">
        <v>311</v>
      </c>
      <c r="J24" s="341">
        <v>279</v>
      </c>
      <c r="K24" s="341">
        <v>175.5</v>
      </c>
      <c r="L24" s="341">
        <v>90.2</v>
      </c>
      <c r="M24" s="341">
        <v>85.55</v>
      </c>
      <c r="N24" s="341">
        <v>11</v>
      </c>
      <c r="O24" s="341">
        <v>317</v>
      </c>
      <c r="P24" s="341">
        <v>348.6</v>
      </c>
      <c r="Q24" s="341">
        <v>313</v>
      </c>
      <c r="R24" s="352">
        <f t="shared" si="1"/>
        <v>3013.65</v>
      </c>
      <c r="S24" s="340">
        <v>2005</v>
      </c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52">
        <f t="shared" si="2"/>
        <v>0</v>
      </c>
      <c r="AG24" s="340">
        <v>2005</v>
      </c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52">
        <f t="shared" si="3"/>
        <v>0</v>
      </c>
    </row>
    <row r="25" spans="2:46">
      <c r="E25" s="340">
        <v>2006</v>
      </c>
      <c r="F25" s="341">
        <v>303.5</v>
      </c>
      <c r="G25" s="341">
        <v>272</v>
      </c>
      <c r="H25" s="341">
        <v>367</v>
      </c>
      <c r="I25" s="341">
        <v>331</v>
      </c>
      <c r="J25" s="341">
        <v>120.5</v>
      </c>
      <c r="K25" s="341">
        <v>567</v>
      </c>
      <c r="L25" s="341">
        <v>109</v>
      </c>
      <c r="M25" s="341">
        <v>20</v>
      </c>
      <c r="N25" s="341">
        <v>38</v>
      </c>
      <c r="O25" s="341">
        <v>120</v>
      </c>
      <c r="P25" s="341">
        <v>165.73333333333301</v>
      </c>
      <c r="Q25" s="341">
        <v>190</v>
      </c>
      <c r="R25" s="352">
        <f t="shared" si="1"/>
        <v>2603.7333333333331</v>
      </c>
      <c r="S25" s="340">
        <v>2006</v>
      </c>
      <c r="T25" s="341"/>
      <c r="U25" s="341"/>
      <c r="V25" s="341"/>
      <c r="W25" s="341"/>
      <c r="X25" s="341"/>
      <c r="Y25" s="341"/>
      <c r="Z25" s="341"/>
      <c r="AA25" s="341"/>
      <c r="AB25" s="341"/>
      <c r="AC25" s="341"/>
      <c r="AD25" s="341"/>
      <c r="AE25" s="341"/>
      <c r="AF25" s="352">
        <f t="shared" si="2"/>
        <v>0</v>
      </c>
      <c r="AG25" s="340">
        <v>2006</v>
      </c>
      <c r="AH25" s="341"/>
      <c r="AI25" s="341"/>
      <c r="AJ25" s="341"/>
      <c r="AK25" s="341"/>
      <c r="AL25" s="341"/>
      <c r="AM25" s="341"/>
      <c r="AN25" s="341"/>
      <c r="AO25" s="341"/>
      <c r="AP25" s="341"/>
      <c r="AQ25" s="341"/>
      <c r="AR25" s="341"/>
      <c r="AS25" s="341"/>
      <c r="AT25" s="352">
        <f t="shared" si="3"/>
        <v>0</v>
      </c>
    </row>
    <row r="26" spans="2:46">
      <c r="E26" s="340">
        <v>2007</v>
      </c>
      <c r="F26" s="341">
        <v>281</v>
      </c>
      <c r="G26" s="341">
        <v>243</v>
      </c>
      <c r="H26" s="341">
        <v>293</v>
      </c>
      <c r="I26" s="341">
        <v>409</v>
      </c>
      <c r="J26" s="341">
        <v>274</v>
      </c>
      <c r="K26" s="341">
        <v>488</v>
      </c>
      <c r="L26" s="341">
        <v>956</v>
      </c>
      <c r="M26" s="341">
        <v>157</v>
      </c>
      <c r="N26" s="341">
        <v>91</v>
      </c>
      <c r="O26" s="341">
        <v>136</v>
      </c>
      <c r="P26" s="341">
        <v>58</v>
      </c>
      <c r="Q26" s="341">
        <v>24.8</v>
      </c>
      <c r="R26" s="352">
        <f t="shared" si="1"/>
        <v>3410.8</v>
      </c>
      <c r="S26" s="340">
        <v>2007</v>
      </c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52">
        <f t="shared" si="2"/>
        <v>0</v>
      </c>
      <c r="AG26" s="340">
        <v>2007</v>
      </c>
      <c r="AH26" s="341"/>
      <c r="AI26" s="341"/>
      <c r="AJ26" s="341"/>
      <c r="AK26" s="341"/>
      <c r="AL26" s="341"/>
      <c r="AM26" s="341"/>
      <c r="AN26" s="341"/>
      <c r="AO26" s="341"/>
      <c r="AP26" s="341"/>
      <c r="AQ26" s="341"/>
      <c r="AR26" s="341"/>
      <c r="AS26" s="341"/>
      <c r="AT26" s="352">
        <f t="shared" si="3"/>
        <v>0</v>
      </c>
    </row>
    <row r="27" spans="2:46">
      <c r="E27" s="340">
        <v>2008</v>
      </c>
      <c r="F27" s="341">
        <v>117.166666666667</v>
      </c>
      <c r="G27" s="341">
        <v>78.866666666666703</v>
      </c>
      <c r="H27" s="341">
        <v>173.23333333333301</v>
      </c>
      <c r="I27" s="341">
        <v>192.4</v>
      </c>
      <c r="J27" s="341">
        <v>640</v>
      </c>
      <c r="K27" s="341">
        <v>190.833333333333</v>
      </c>
      <c r="L27" s="341">
        <v>325.23333333333301</v>
      </c>
      <c r="M27" s="341">
        <v>401.2</v>
      </c>
      <c r="N27" s="341">
        <v>286</v>
      </c>
      <c r="O27" s="341">
        <v>166.433333333333</v>
      </c>
      <c r="P27" s="341">
        <v>477.76666666666699</v>
      </c>
      <c r="Q27" s="341">
        <v>446.1</v>
      </c>
      <c r="R27" s="352">
        <f t="shared" si="1"/>
        <v>3495.2333333333322</v>
      </c>
      <c r="S27" s="340">
        <v>2008</v>
      </c>
      <c r="T27" s="341"/>
      <c r="U27" s="341"/>
      <c r="V27" s="341"/>
      <c r="W27" s="341"/>
      <c r="X27" s="341"/>
      <c r="Y27" s="341"/>
      <c r="Z27" s="341"/>
      <c r="AA27" s="341"/>
      <c r="AB27" s="341"/>
      <c r="AC27" s="341"/>
      <c r="AD27" s="341"/>
      <c r="AE27" s="341"/>
      <c r="AF27" s="352">
        <f t="shared" si="2"/>
        <v>0</v>
      </c>
      <c r="AG27" s="340">
        <v>2008</v>
      </c>
      <c r="AH27" s="341"/>
      <c r="AI27" s="341"/>
      <c r="AJ27" s="341"/>
      <c r="AK27" s="341"/>
      <c r="AL27" s="341"/>
      <c r="AM27" s="341"/>
      <c r="AN27" s="341"/>
      <c r="AO27" s="341"/>
      <c r="AP27" s="341"/>
      <c r="AQ27" s="341"/>
      <c r="AR27" s="341"/>
      <c r="AS27" s="341"/>
      <c r="AT27" s="352">
        <f t="shared" si="3"/>
        <v>0</v>
      </c>
    </row>
    <row r="28" spans="2:46">
      <c r="E28" s="340">
        <v>2009</v>
      </c>
      <c r="F28" s="341">
        <v>340.13333333333298</v>
      </c>
      <c r="G28" s="341">
        <v>162.69999999999999</v>
      </c>
      <c r="H28" s="341">
        <v>102.666666666667</v>
      </c>
      <c r="I28" s="341">
        <v>118.333333333333</v>
      </c>
      <c r="J28" s="341">
        <v>343.66666666666703</v>
      </c>
      <c r="K28" s="341">
        <v>81.3333333333333</v>
      </c>
      <c r="L28" s="341">
        <v>161.666666666667</v>
      </c>
      <c r="M28" s="341">
        <v>74.6666666666667</v>
      </c>
      <c r="N28" s="341">
        <v>4.6666666666666696</v>
      </c>
      <c r="O28" s="341">
        <v>110.666666666667</v>
      </c>
      <c r="P28" s="341">
        <v>150.666666666667</v>
      </c>
      <c r="Q28" s="341">
        <v>79.3333333333333</v>
      </c>
      <c r="R28" s="352">
        <f t="shared" si="1"/>
        <v>1730.5000000000009</v>
      </c>
      <c r="S28" s="340">
        <v>2009</v>
      </c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52">
        <f t="shared" si="2"/>
        <v>0</v>
      </c>
      <c r="AG28" s="340">
        <v>2009</v>
      </c>
      <c r="AH28" s="341"/>
      <c r="AI28" s="341"/>
      <c r="AJ28" s="341"/>
      <c r="AK28" s="341"/>
      <c r="AL28" s="341"/>
      <c r="AM28" s="341"/>
      <c r="AN28" s="341"/>
      <c r="AO28" s="341"/>
      <c r="AP28" s="341"/>
      <c r="AQ28" s="341"/>
      <c r="AR28" s="341"/>
      <c r="AS28" s="341"/>
      <c r="AT28" s="352">
        <f t="shared" si="3"/>
        <v>0</v>
      </c>
    </row>
    <row r="29" spans="2:46">
      <c r="E29" s="340">
        <v>2010</v>
      </c>
      <c r="F29" s="341">
        <v>177.25</v>
      </c>
      <c r="G29" s="341">
        <v>201.7</v>
      </c>
      <c r="H29" s="341">
        <v>267.89999999999998</v>
      </c>
      <c r="I29" s="341">
        <v>289.7</v>
      </c>
      <c r="J29" s="341">
        <v>295.35000000000002</v>
      </c>
      <c r="K29" s="341">
        <v>271</v>
      </c>
      <c r="L29" s="341">
        <v>327.14999999999998</v>
      </c>
      <c r="M29" s="341">
        <v>431.20000000000101</v>
      </c>
      <c r="N29" s="341">
        <v>203.45</v>
      </c>
      <c r="O29" s="341">
        <v>299.150000000001</v>
      </c>
      <c r="P29" s="341">
        <v>163.65</v>
      </c>
      <c r="Q29" s="341">
        <v>70.2</v>
      </c>
      <c r="R29" s="352">
        <f t="shared" si="1"/>
        <v>2997.7000000000021</v>
      </c>
      <c r="S29" s="340">
        <v>2010</v>
      </c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1"/>
      <c r="AF29" s="352">
        <f t="shared" si="2"/>
        <v>0</v>
      </c>
      <c r="AG29" s="340">
        <v>2010</v>
      </c>
      <c r="AH29" s="341"/>
      <c r="AI29" s="341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52">
        <f t="shared" si="3"/>
        <v>0</v>
      </c>
    </row>
    <row r="30" spans="2:46">
      <c r="E30" s="340">
        <v>2011</v>
      </c>
      <c r="F30" s="341">
        <v>125.05</v>
      </c>
      <c r="G30" s="341">
        <v>171.95</v>
      </c>
      <c r="H30" s="341">
        <v>201.81</v>
      </c>
      <c r="I30" s="341">
        <v>219</v>
      </c>
      <c r="J30" s="341">
        <v>111</v>
      </c>
      <c r="K30" s="341">
        <v>150.650000000001</v>
      </c>
      <c r="L30" s="341">
        <v>80.900000000000006</v>
      </c>
      <c r="M30" s="341">
        <v>14.65</v>
      </c>
      <c r="N30" s="341">
        <v>83.05</v>
      </c>
      <c r="O30" s="341">
        <v>229.25</v>
      </c>
      <c r="P30" s="341">
        <v>244.75</v>
      </c>
      <c r="Q30" s="341">
        <v>267</v>
      </c>
      <c r="R30" s="352">
        <f t="shared" si="1"/>
        <v>1899.0600000000011</v>
      </c>
      <c r="S30" s="340">
        <v>2011</v>
      </c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52">
        <f t="shared" si="2"/>
        <v>0</v>
      </c>
      <c r="AG30" s="340">
        <v>2011</v>
      </c>
      <c r="AH30" s="341"/>
      <c r="AI30" s="341"/>
      <c r="AJ30" s="341"/>
      <c r="AK30" s="341"/>
      <c r="AL30" s="341"/>
      <c r="AM30" s="341"/>
      <c r="AN30" s="341"/>
      <c r="AO30" s="341"/>
      <c r="AP30" s="341"/>
      <c r="AQ30" s="341"/>
      <c r="AR30" s="341"/>
      <c r="AS30" s="341"/>
      <c r="AT30" s="352">
        <f t="shared" si="3"/>
        <v>0</v>
      </c>
    </row>
    <row r="31" spans="2:46">
      <c r="E31" s="340">
        <v>2012</v>
      </c>
      <c r="F31" s="341">
        <v>187.26666666666699</v>
      </c>
      <c r="G31" s="341">
        <v>135.666666666667</v>
      </c>
      <c r="H31" s="341">
        <v>188.066666666667</v>
      </c>
      <c r="I31" s="341">
        <v>126.633333333333</v>
      </c>
      <c r="J31" s="341">
        <v>114.133333333333</v>
      </c>
      <c r="K31" s="341">
        <v>158</v>
      </c>
      <c r="L31" s="341">
        <v>421</v>
      </c>
      <c r="M31" s="341">
        <v>307</v>
      </c>
      <c r="N31" s="341">
        <v>46</v>
      </c>
      <c r="O31" s="341">
        <v>92</v>
      </c>
      <c r="P31" s="341">
        <v>147.13333333333301</v>
      </c>
      <c r="Q31" s="341">
        <v>236.23672663314599</v>
      </c>
      <c r="R31" s="352">
        <f t="shared" si="1"/>
        <v>2159.1367266331458</v>
      </c>
      <c r="S31" s="340">
        <v>2012</v>
      </c>
      <c r="T31" s="341">
        <v>163</v>
      </c>
      <c r="U31" s="341">
        <v>58</v>
      </c>
      <c r="V31" s="341">
        <v>77</v>
      </c>
      <c r="W31" s="341">
        <v>72</v>
      </c>
      <c r="X31" s="341">
        <v>67</v>
      </c>
      <c r="Y31" s="341">
        <v>87</v>
      </c>
      <c r="Z31" s="341">
        <v>243</v>
      </c>
      <c r="AA31" s="341">
        <v>47</v>
      </c>
      <c r="AB31" s="341">
        <v>25</v>
      </c>
      <c r="AC31" s="341">
        <v>54.716666666666669</v>
      </c>
      <c r="AD31" s="341">
        <v>80.033333333333317</v>
      </c>
      <c r="AE31" s="341">
        <v>61.122222222222227</v>
      </c>
      <c r="AF31" s="352">
        <f t="shared" si="2"/>
        <v>1034.8722222222223</v>
      </c>
      <c r="AG31" s="340">
        <v>2012</v>
      </c>
      <c r="AH31" s="341">
        <v>18.000000000000004</v>
      </c>
      <c r="AI31" s="341">
        <v>18</v>
      </c>
      <c r="AJ31" s="341">
        <v>24</v>
      </c>
      <c r="AK31" s="341">
        <v>13</v>
      </c>
      <c r="AL31" s="341">
        <v>26</v>
      </c>
      <c r="AM31" s="341">
        <v>24</v>
      </c>
      <c r="AN31" s="341">
        <v>20.5</v>
      </c>
      <c r="AO31" s="341">
        <v>6.5</v>
      </c>
      <c r="AP31" s="341">
        <v>6.5</v>
      </c>
      <c r="AQ31" s="341">
        <v>12.9</v>
      </c>
      <c r="AR31" s="341">
        <v>23.850000000000005</v>
      </c>
      <c r="AS31" s="341">
        <v>27.92</v>
      </c>
      <c r="AT31" s="352">
        <f t="shared" si="3"/>
        <v>221.17000000000002</v>
      </c>
    </row>
    <row r="32" spans="2:46">
      <c r="E32" s="340">
        <v>2013</v>
      </c>
      <c r="F32" s="341">
        <v>191</v>
      </c>
      <c r="G32" s="341">
        <v>251.166666666667</v>
      </c>
      <c r="H32" s="341">
        <v>204.46666666666701</v>
      </c>
      <c r="I32" s="341">
        <v>238</v>
      </c>
      <c r="J32" s="341">
        <v>160.933333333333</v>
      </c>
      <c r="K32" s="341">
        <v>171.333333333333</v>
      </c>
      <c r="L32" s="341">
        <v>464.86666666666702</v>
      </c>
      <c r="M32" s="341">
        <v>257.86666666666702</v>
      </c>
      <c r="N32" s="341">
        <v>172.4</v>
      </c>
      <c r="O32" s="341">
        <v>35</v>
      </c>
      <c r="P32" s="341">
        <v>152.066666666667</v>
      </c>
      <c r="Q32" s="341">
        <v>473</v>
      </c>
      <c r="R32" s="352">
        <f t="shared" si="1"/>
        <v>2772.1000000000013</v>
      </c>
      <c r="S32" s="340">
        <v>2013</v>
      </c>
      <c r="T32" s="341">
        <v>197.06666666666666</v>
      </c>
      <c r="U32" s="341">
        <v>143.53333333333333</v>
      </c>
      <c r="V32" s="341">
        <v>74.733333333333334</v>
      </c>
      <c r="W32" s="341">
        <v>68.016666666666652</v>
      </c>
      <c r="X32" s="341">
        <v>76.45</v>
      </c>
      <c r="Y32" s="341">
        <v>65.950000000000017</v>
      </c>
      <c r="Z32" s="341">
        <v>220.98333333333335</v>
      </c>
      <c r="AA32" s="341">
        <v>119.71666666666667</v>
      </c>
      <c r="AB32" s="341">
        <v>81.416666666666671</v>
      </c>
      <c r="AC32" s="341">
        <v>8.9833333333333343</v>
      </c>
      <c r="AD32" s="341">
        <v>89.932777777777773</v>
      </c>
      <c r="AE32" s="341">
        <v>203.54861111111111</v>
      </c>
      <c r="AF32" s="352">
        <f t="shared" si="2"/>
        <v>1350.331388888889</v>
      </c>
      <c r="AG32" s="340">
        <v>2013</v>
      </c>
      <c r="AH32" s="341">
        <v>27.350000000000012</v>
      </c>
      <c r="AI32" s="341">
        <v>23.58</v>
      </c>
      <c r="AJ32" s="341">
        <v>34.479999999999997</v>
      </c>
      <c r="AK32" s="341">
        <v>28.9</v>
      </c>
      <c r="AL32" s="341">
        <v>24.48</v>
      </c>
      <c r="AM32" s="341">
        <v>14.083333333333332</v>
      </c>
      <c r="AN32" s="341">
        <v>30.500000000000004</v>
      </c>
      <c r="AO32" s="341">
        <v>15.0833333333333</v>
      </c>
      <c r="AP32" s="341">
        <v>19.833333333333329</v>
      </c>
      <c r="AQ32" s="341">
        <v>3.4999999999999996</v>
      </c>
      <c r="AR32" s="341">
        <v>18.033055555555549</v>
      </c>
      <c r="AS32" s="341">
        <v>37.983333333333334</v>
      </c>
      <c r="AT32" s="352">
        <f t="shared" si="3"/>
        <v>277.80638888888888</v>
      </c>
    </row>
    <row r="33" spans="5:46">
      <c r="E33" s="340">
        <v>2014</v>
      </c>
      <c r="F33" s="341">
        <v>188.2</v>
      </c>
      <c r="G33" s="341">
        <v>174</v>
      </c>
      <c r="H33" s="341">
        <v>372.13333333333298</v>
      </c>
      <c r="I33" s="341">
        <v>190.4</v>
      </c>
      <c r="J33" s="341">
        <v>292</v>
      </c>
      <c r="K33" s="341">
        <v>315.14999999999998</v>
      </c>
      <c r="L33" s="341">
        <v>174.599722222222</v>
      </c>
      <c r="M33" s="341">
        <v>196.4</v>
      </c>
      <c r="N33" s="341">
        <v>6</v>
      </c>
      <c r="O33" s="341">
        <v>110.93</v>
      </c>
      <c r="P33" s="341">
        <v>128.94999999999999</v>
      </c>
      <c r="Q33" s="341">
        <v>474.2</v>
      </c>
      <c r="R33" s="352">
        <f t="shared" si="1"/>
        <v>2622.963055555555</v>
      </c>
      <c r="S33" s="340">
        <v>2014</v>
      </c>
      <c r="T33" s="341">
        <v>101.03305555555556</v>
      </c>
      <c r="U33" s="341">
        <v>54.249722222222218</v>
      </c>
      <c r="V33" s="341">
        <v>70.485694444444448</v>
      </c>
      <c r="W33" s="341">
        <v>77</v>
      </c>
      <c r="X33" s="341">
        <v>92.3</v>
      </c>
      <c r="Y33" s="341">
        <v>114.1536111111111</v>
      </c>
      <c r="Z33" s="341">
        <v>56.23277777777777</v>
      </c>
      <c r="AA33" s="341">
        <v>83.77</v>
      </c>
      <c r="AB33" s="341">
        <v>5.5</v>
      </c>
      <c r="AC33" s="341">
        <v>21</v>
      </c>
      <c r="AD33" s="341">
        <v>20</v>
      </c>
      <c r="AE33" s="341">
        <v>132.26555555555558</v>
      </c>
      <c r="AF33" s="352">
        <f t="shared" si="2"/>
        <v>827.99041666666665</v>
      </c>
      <c r="AG33" s="340">
        <v>2014</v>
      </c>
      <c r="AH33" s="341">
        <v>23.999861111111109</v>
      </c>
      <c r="AI33" s="341">
        <v>15.166249999999994</v>
      </c>
      <c r="AJ33" s="341">
        <v>19.833194444444441</v>
      </c>
      <c r="AK33" s="341">
        <v>16.329999999999998</v>
      </c>
      <c r="AL33" s="341">
        <v>24.1</v>
      </c>
      <c r="AM33" s="341">
        <v>24.256527777777773</v>
      </c>
      <c r="AN33" s="341">
        <v>21.5</v>
      </c>
      <c r="AO33" s="341">
        <v>11.4</v>
      </c>
      <c r="AP33" s="341">
        <v>1</v>
      </c>
      <c r="AQ33" s="341">
        <v>4</v>
      </c>
      <c r="AR33" s="341">
        <v>11.58</v>
      </c>
      <c r="AS33" s="341">
        <v>37.083055555555553</v>
      </c>
      <c r="AT33" s="352">
        <f t="shared" si="3"/>
        <v>210.2488888888889</v>
      </c>
    </row>
    <row r="34" spans="5:46">
      <c r="E34" s="340">
        <v>2015</v>
      </c>
      <c r="F34" s="341">
        <v>238.5</v>
      </c>
      <c r="G34" s="341">
        <v>228</v>
      </c>
      <c r="H34" s="341">
        <v>127</v>
      </c>
      <c r="I34" s="341">
        <v>293.86666666666702</v>
      </c>
      <c r="J34" s="341">
        <v>327.433333333333</v>
      </c>
      <c r="K34" s="341">
        <v>287.91333333333301</v>
      </c>
      <c r="L34" s="341">
        <v>4.07</v>
      </c>
      <c r="M34" s="341">
        <v>1.1000000000000001</v>
      </c>
      <c r="N34" s="341">
        <v>0</v>
      </c>
      <c r="O34" s="341">
        <v>57.35</v>
      </c>
      <c r="P34" s="341">
        <v>134.67500000000001</v>
      </c>
      <c r="Q34" s="341">
        <v>300.565</v>
      </c>
      <c r="R34" s="352">
        <f t="shared" si="1"/>
        <v>2000.4733333333327</v>
      </c>
      <c r="S34" s="340">
        <v>2015</v>
      </c>
      <c r="T34" s="341">
        <v>128.16583333333332</v>
      </c>
      <c r="U34" s="341">
        <v>90.47</v>
      </c>
      <c r="V34" s="341">
        <v>45.23</v>
      </c>
      <c r="W34" s="341">
        <v>104.98527777777777</v>
      </c>
      <c r="X34" s="341">
        <v>104.49944444444444</v>
      </c>
      <c r="Y34" s="341">
        <v>143.09972222222223</v>
      </c>
      <c r="Z34" s="341">
        <v>2.7</v>
      </c>
      <c r="AA34" s="341">
        <v>1</v>
      </c>
      <c r="AB34" s="341">
        <v>0</v>
      </c>
      <c r="AC34" s="341">
        <v>7.43</v>
      </c>
      <c r="AD34" s="341">
        <v>29.67</v>
      </c>
      <c r="AE34" s="341">
        <v>116.65</v>
      </c>
      <c r="AF34" s="352">
        <f t="shared" si="2"/>
        <v>773.90027777777766</v>
      </c>
      <c r="AG34" s="340">
        <v>2015</v>
      </c>
      <c r="AH34" s="341">
        <v>24.329722222222216</v>
      </c>
      <c r="AI34" s="341">
        <v>42.25</v>
      </c>
      <c r="AJ34" s="341">
        <v>14.5</v>
      </c>
      <c r="AK34" s="341">
        <v>27.733333333333334</v>
      </c>
      <c r="AL34" s="341">
        <v>20.5</v>
      </c>
      <c r="AM34" s="341">
        <v>14.833333333333334</v>
      </c>
      <c r="AN34" s="341">
        <v>2</v>
      </c>
      <c r="AO34" s="341">
        <v>0</v>
      </c>
      <c r="AP34" s="341">
        <v>0</v>
      </c>
      <c r="AQ34" s="341">
        <v>2</v>
      </c>
      <c r="AR34" s="341">
        <v>11.45</v>
      </c>
      <c r="AS34" s="341">
        <v>26.4</v>
      </c>
      <c r="AT34" s="352">
        <f t="shared" si="3"/>
        <v>185.99638888888887</v>
      </c>
    </row>
    <row r="35" spans="5:46">
      <c r="E35" s="340">
        <v>2016</v>
      </c>
      <c r="F35" s="341">
        <v>223</v>
      </c>
      <c r="G35" s="341">
        <v>322.7</v>
      </c>
      <c r="H35" s="341">
        <v>351.47500000000002</v>
      </c>
      <c r="I35" s="341">
        <v>488.95</v>
      </c>
      <c r="J35" s="341">
        <v>337</v>
      </c>
      <c r="K35" s="341">
        <v>207</v>
      </c>
      <c r="L35" s="341">
        <v>228.4</v>
      </c>
      <c r="M35" s="341">
        <v>32.549999999999997</v>
      </c>
      <c r="N35" s="341">
        <v>140</v>
      </c>
      <c r="O35" s="341">
        <v>138.19999999999999</v>
      </c>
      <c r="P35" s="341">
        <v>208.15</v>
      </c>
      <c r="Q35" s="341">
        <v>156.69999999999999</v>
      </c>
      <c r="R35" s="352">
        <f t="shared" si="1"/>
        <v>2834.125</v>
      </c>
      <c r="S35" s="340">
        <v>2016</v>
      </c>
      <c r="T35" s="341">
        <v>138.54166666666669</v>
      </c>
      <c r="U35" s="341">
        <v>126.25666666666667</v>
      </c>
      <c r="V35" s="341">
        <v>95.856666666666655</v>
      </c>
      <c r="W35" s="341">
        <v>103.43333333333332</v>
      </c>
      <c r="X35" s="341">
        <v>91.171666666666667</v>
      </c>
      <c r="Y35" s="341">
        <v>74.933333333333337</v>
      </c>
      <c r="Z35" s="341">
        <v>151.4</v>
      </c>
      <c r="AA35" s="341">
        <v>71.399999999999977</v>
      </c>
      <c r="AB35" s="341">
        <v>91.208333333333329</v>
      </c>
      <c r="AC35" s="341">
        <v>67.740000000000009</v>
      </c>
      <c r="AD35" s="341">
        <v>105.09958333333333</v>
      </c>
      <c r="AE35" s="341">
        <v>100</v>
      </c>
      <c r="AF35" s="352">
        <f t="shared" si="2"/>
        <v>1217.04125</v>
      </c>
      <c r="AG35" s="340">
        <v>2016</v>
      </c>
      <c r="AH35" s="341">
        <v>24</v>
      </c>
      <c r="AI35" s="341">
        <v>33.17</v>
      </c>
      <c r="AJ35" s="341">
        <v>14.83</v>
      </c>
      <c r="AK35" s="341">
        <v>32</v>
      </c>
      <c r="AL35" s="341">
        <v>19.600000000000001</v>
      </c>
      <c r="AM35" s="341">
        <v>11.2</v>
      </c>
      <c r="AN35" s="341">
        <v>7.5</v>
      </c>
      <c r="AO35" s="341">
        <v>3</v>
      </c>
      <c r="AP35" s="341">
        <v>12</v>
      </c>
      <c r="AQ35" s="341">
        <v>17.100000000000001</v>
      </c>
      <c r="AR35" s="341">
        <v>18.2</v>
      </c>
      <c r="AS35" s="341">
        <v>37.93</v>
      </c>
      <c r="AT35" s="352">
        <f t="shared" si="3"/>
        <v>230.52999999999997</v>
      </c>
    </row>
    <row r="36" spans="5:46">
      <c r="E36" s="340">
        <v>2017</v>
      </c>
      <c r="F36" s="341">
        <v>322.5</v>
      </c>
      <c r="G36" s="341">
        <v>185.4</v>
      </c>
      <c r="H36" s="341">
        <v>99.25</v>
      </c>
      <c r="I36" s="341">
        <v>260.95</v>
      </c>
      <c r="J36" s="341">
        <v>741</v>
      </c>
      <c r="K36" s="341">
        <v>533</v>
      </c>
      <c r="L36" s="341">
        <v>315.5</v>
      </c>
      <c r="M36" s="341">
        <v>291.3</v>
      </c>
      <c r="N36" s="341">
        <v>255.4</v>
      </c>
      <c r="O36" s="341">
        <v>104.8</v>
      </c>
      <c r="P36" s="341">
        <v>265.7</v>
      </c>
      <c r="Q36" s="341">
        <v>222.4</v>
      </c>
      <c r="R36" s="352">
        <f t="shared" si="1"/>
        <v>3597.2000000000003</v>
      </c>
      <c r="S36" s="340">
        <v>2017</v>
      </c>
      <c r="T36" s="341">
        <v>68.239999999999995</v>
      </c>
      <c r="U36" s="341">
        <v>103.5</v>
      </c>
      <c r="V36" s="341">
        <v>44.629999999999995</v>
      </c>
      <c r="W36" s="341">
        <v>66.58</v>
      </c>
      <c r="X36" s="341">
        <v>168.97</v>
      </c>
      <c r="Y36" s="341">
        <v>157.41</v>
      </c>
      <c r="Z36" s="341">
        <v>104.76</v>
      </c>
      <c r="AA36" s="341">
        <v>91.25</v>
      </c>
      <c r="AB36" s="341">
        <v>38.159999999999997</v>
      </c>
      <c r="AC36" s="341">
        <v>49.040000000000006</v>
      </c>
      <c r="AD36" s="341">
        <v>105.96000000000001</v>
      </c>
      <c r="AE36" s="341">
        <v>74.820000000000007</v>
      </c>
      <c r="AF36" s="352">
        <f t="shared" si="2"/>
        <v>1073.32</v>
      </c>
      <c r="AG36" s="340">
        <v>2017</v>
      </c>
      <c r="AH36" s="341">
        <v>63.02</v>
      </c>
      <c r="AI36" s="341">
        <v>20.5</v>
      </c>
      <c r="AJ36" s="341">
        <v>28.299999999999997</v>
      </c>
      <c r="AK36" s="341">
        <v>30.66</v>
      </c>
      <c r="AL36" s="341">
        <v>64.13</v>
      </c>
      <c r="AM36" s="341">
        <v>60.47</v>
      </c>
      <c r="AN36" s="341">
        <v>59.08</v>
      </c>
      <c r="AO36" s="341">
        <v>54.4</v>
      </c>
      <c r="AP36" s="341">
        <v>38.699999999999996</v>
      </c>
      <c r="AQ36" s="341">
        <v>39.86</v>
      </c>
      <c r="AR36" s="341">
        <v>73.02</v>
      </c>
      <c r="AS36" s="341">
        <v>66.046666666666667</v>
      </c>
      <c r="AT36" s="352">
        <f>SUM(AH36:AS36)</f>
        <v>598.18666666666661</v>
      </c>
    </row>
    <row r="37" spans="5:46">
      <c r="E37" s="340">
        <v>2018</v>
      </c>
      <c r="F37" s="341">
        <v>288.8</v>
      </c>
      <c r="G37" s="341">
        <v>310.3</v>
      </c>
      <c r="H37" s="341">
        <v>320</v>
      </c>
      <c r="I37" s="341">
        <v>62.5</v>
      </c>
      <c r="J37" s="341">
        <v>1000</v>
      </c>
      <c r="K37" s="341">
        <v>684</v>
      </c>
      <c r="L37" s="341">
        <v>121.5</v>
      </c>
      <c r="M37" s="341">
        <v>94.5</v>
      </c>
      <c r="N37" s="341">
        <v>107</v>
      </c>
      <c r="O37" s="341">
        <v>12</v>
      </c>
      <c r="P37" s="341">
        <v>176.5</v>
      </c>
      <c r="Q37" s="341">
        <v>271.8</v>
      </c>
      <c r="R37" s="352">
        <f t="shared" si="1"/>
        <v>3448.9</v>
      </c>
      <c r="S37" s="340">
        <v>2018</v>
      </c>
      <c r="T37" s="341">
        <v>93.440000000000012</v>
      </c>
      <c r="U37" s="341">
        <v>90.250000000000014</v>
      </c>
      <c r="V37" s="341">
        <v>65.75</v>
      </c>
      <c r="W37" s="341">
        <v>33.92</v>
      </c>
      <c r="X37" s="341">
        <v>166.09999999999997</v>
      </c>
      <c r="Y37" s="341">
        <v>155.95000000000002</v>
      </c>
      <c r="Z37" s="341">
        <v>104.65</v>
      </c>
      <c r="AA37" s="341">
        <v>26.42</v>
      </c>
      <c r="AB37" s="341">
        <v>41.39</v>
      </c>
      <c r="AC37" s="341">
        <v>8.83</v>
      </c>
      <c r="AD37" s="341">
        <v>166.57666666666665</v>
      </c>
      <c r="AE37" s="341">
        <v>100.77</v>
      </c>
      <c r="AF37" s="352">
        <f t="shared" si="2"/>
        <v>1054.0466666666666</v>
      </c>
      <c r="AG37" s="340">
        <v>2018</v>
      </c>
      <c r="AH37" s="341">
        <v>65.430000000000007</v>
      </c>
      <c r="AI37" s="341">
        <v>65.56</v>
      </c>
      <c r="AJ37" s="341">
        <v>60.510000000000005</v>
      </c>
      <c r="AK37" s="341">
        <v>24.58</v>
      </c>
      <c r="AL37" s="341">
        <v>92.94</v>
      </c>
      <c r="AM37" s="341">
        <v>59.720000000000006</v>
      </c>
      <c r="AN37" s="341">
        <v>27.479999999999997</v>
      </c>
      <c r="AO37" s="341">
        <v>17.309999999999999</v>
      </c>
      <c r="AP37" s="341">
        <v>28.5</v>
      </c>
      <c r="AQ37" s="341">
        <v>12.2</v>
      </c>
      <c r="AR37" s="341">
        <v>82.87</v>
      </c>
      <c r="AS37" s="341">
        <v>93.096700000000013</v>
      </c>
      <c r="AT37" s="352">
        <f>SUM(AH37:AS37)</f>
        <v>630.19670000000008</v>
      </c>
    </row>
    <row r="38" spans="5:46">
      <c r="E38" s="340">
        <v>2019</v>
      </c>
      <c r="F38" s="341">
        <v>388</v>
      </c>
      <c r="G38" s="341">
        <v>81.5</v>
      </c>
      <c r="H38" s="341">
        <v>212</v>
      </c>
      <c r="I38" s="341">
        <v>213</v>
      </c>
      <c r="J38" s="341">
        <v>277</v>
      </c>
      <c r="K38" s="341">
        <v>1114</v>
      </c>
      <c r="L38" s="341">
        <v>27</v>
      </c>
      <c r="M38" s="341">
        <v>0</v>
      </c>
      <c r="N38" s="341">
        <v>0</v>
      </c>
      <c r="O38" s="341">
        <v>51.5</v>
      </c>
      <c r="P38" s="341">
        <v>75</v>
      </c>
      <c r="Q38" s="341">
        <v>171</v>
      </c>
      <c r="R38" s="352">
        <f t="shared" si="1"/>
        <v>2610</v>
      </c>
      <c r="S38" s="340">
        <v>2019</v>
      </c>
      <c r="T38" s="341">
        <v>120.79</v>
      </c>
      <c r="U38" s="341">
        <v>51.090000000000011</v>
      </c>
      <c r="V38" s="341">
        <v>87.17</v>
      </c>
      <c r="W38" s="341">
        <v>72.37</v>
      </c>
      <c r="X38" s="341">
        <v>95.09</v>
      </c>
      <c r="Y38" s="341">
        <v>209.01999999999998</v>
      </c>
      <c r="Z38" s="341">
        <v>21</v>
      </c>
      <c r="AA38" s="341">
        <v>0</v>
      </c>
      <c r="AB38" s="341">
        <v>0</v>
      </c>
      <c r="AC38" s="341">
        <v>20.59</v>
      </c>
      <c r="AD38" s="341">
        <v>16.809999999999999</v>
      </c>
      <c r="AE38" s="341">
        <v>60.23</v>
      </c>
      <c r="AF38" s="352">
        <f t="shared" si="2"/>
        <v>754.16</v>
      </c>
      <c r="AG38" s="340">
        <v>2019</v>
      </c>
      <c r="AH38" s="341">
        <v>105.48</v>
      </c>
      <c r="AI38" s="341">
        <v>41.929999999999993</v>
      </c>
      <c r="AJ38" s="341">
        <v>50.339999999999996</v>
      </c>
      <c r="AK38" s="341">
        <v>44.969999999999992</v>
      </c>
      <c r="AL38" s="341">
        <v>35.43</v>
      </c>
      <c r="AM38" s="341">
        <v>40.4</v>
      </c>
      <c r="AN38" s="341">
        <v>6</v>
      </c>
      <c r="AO38" s="341">
        <v>0</v>
      </c>
      <c r="AP38" s="341">
        <v>0</v>
      </c>
      <c r="AQ38" s="341">
        <v>6.5</v>
      </c>
      <c r="AR38" s="341">
        <v>12.21</v>
      </c>
      <c r="AS38" s="341">
        <v>25.560000000000002</v>
      </c>
      <c r="AT38" s="352">
        <f t="shared" si="3"/>
        <v>368.81999999999994</v>
      </c>
    </row>
    <row r="39" spans="5:46">
      <c r="E39" s="340">
        <v>2020</v>
      </c>
      <c r="F39" s="341">
        <v>550</v>
      </c>
      <c r="G39" s="341">
        <v>420</v>
      </c>
      <c r="H39" s="341">
        <v>400</v>
      </c>
      <c r="I39" s="341">
        <v>418</v>
      </c>
      <c r="J39" s="341">
        <v>392</v>
      </c>
      <c r="K39" s="341">
        <v>1124</v>
      </c>
      <c r="L39" s="341">
        <v>643</v>
      </c>
      <c r="M39" s="341">
        <v>81</v>
      </c>
      <c r="N39" s="341">
        <v>257</v>
      </c>
      <c r="O39" s="341">
        <v>384</v>
      </c>
      <c r="P39" s="341">
        <v>117</v>
      </c>
      <c r="Q39" s="341">
        <v>694</v>
      </c>
      <c r="R39" s="352">
        <f t="shared" si="1"/>
        <v>5480</v>
      </c>
      <c r="S39" s="340">
        <v>2020</v>
      </c>
      <c r="T39" s="341">
        <v>147</v>
      </c>
      <c r="U39" s="341">
        <v>185.28999999999996</v>
      </c>
      <c r="V39" s="341">
        <v>111.08999999999999</v>
      </c>
      <c r="W39" s="341">
        <v>140.41</v>
      </c>
      <c r="X39" s="341">
        <v>144.22</v>
      </c>
      <c r="Y39" s="341">
        <v>220.48000000000005</v>
      </c>
      <c r="Z39" s="341">
        <v>282.67</v>
      </c>
      <c r="AA39" s="341">
        <v>44.010000000000005</v>
      </c>
      <c r="AB39" s="341">
        <v>81.800000000000011</v>
      </c>
      <c r="AC39" s="341">
        <v>108.52000000000001</v>
      </c>
      <c r="AD39" s="341">
        <v>95.97</v>
      </c>
      <c r="AE39" s="341">
        <v>251.11000000000004</v>
      </c>
      <c r="AF39" s="352">
        <f t="shared" si="2"/>
        <v>1812.5700000000002</v>
      </c>
      <c r="AG39" s="340">
        <v>2020</v>
      </c>
      <c r="AH39" s="341">
        <v>65</v>
      </c>
      <c r="AI39" s="341">
        <v>76.34</v>
      </c>
      <c r="AJ39" s="341">
        <v>65.5</v>
      </c>
      <c r="AK39" s="341">
        <v>61</v>
      </c>
      <c r="AL39" s="341">
        <v>49.33</v>
      </c>
      <c r="AM39" s="341">
        <v>43.68</v>
      </c>
      <c r="AN39" s="341">
        <v>60.669999999999995</v>
      </c>
      <c r="AO39" s="341">
        <v>19.829999999999998</v>
      </c>
      <c r="AP39" s="341">
        <v>47.67</v>
      </c>
      <c r="AQ39" s="341">
        <v>41.000000000000007</v>
      </c>
      <c r="AR39" s="341">
        <v>59.360000000000007</v>
      </c>
      <c r="AS39" s="341">
        <v>57.69</v>
      </c>
      <c r="AT39" s="352">
        <f t="shared" si="3"/>
        <v>647.07000000000016</v>
      </c>
    </row>
    <row r="40" spans="5:46">
      <c r="E40" s="340">
        <v>2021</v>
      </c>
      <c r="F40" s="341">
        <v>617</v>
      </c>
      <c r="G40" s="341">
        <v>341</v>
      </c>
      <c r="H40" s="341">
        <v>219</v>
      </c>
      <c r="I40" s="341">
        <v>289</v>
      </c>
      <c r="J40" s="341">
        <v>506.5</v>
      </c>
      <c r="K40" s="341">
        <v>166</v>
      </c>
      <c r="L40" s="341">
        <v>298.3</v>
      </c>
      <c r="M40" s="341">
        <v>637.20000000000005</v>
      </c>
      <c r="N40" s="341">
        <v>362.2</v>
      </c>
      <c r="O40" s="341">
        <v>440.9</v>
      </c>
      <c r="P40" s="341">
        <v>286.5</v>
      </c>
      <c r="Q40" s="341">
        <v>169.4</v>
      </c>
      <c r="R40" s="352">
        <f t="shared" si="1"/>
        <v>4333</v>
      </c>
      <c r="S40" s="340">
        <v>2021</v>
      </c>
      <c r="T40" s="341">
        <v>163.20000000000002</v>
      </c>
      <c r="U40" s="341">
        <v>93.17</v>
      </c>
      <c r="V40" s="341">
        <v>77.41</v>
      </c>
      <c r="W40" s="341">
        <v>58.470000000000006</v>
      </c>
      <c r="X40" s="341">
        <v>144.04000000000002</v>
      </c>
      <c r="Y40" s="341">
        <v>188.37599999999998</v>
      </c>
      <c r="Z40" s="341">
        <v>104.71600000000001</v>
      </c>
      <c r="AA40" s="341">
        <v>88.257600000000011</v>
      </c>
      <c r="AB40" s="341">
        <v>46.04</v>
      </c>
      <c r="AC40" s="341">
        <v>64.090049999999962</v>
      </c>
      <c r="AD40" s="341">
        <v>120.32985999999998</v>
      </c>
      <c r="AE40" s="341">
        <v>126.01933333333335</v>
      </c>
      <c r="AF40" s="352">
        <f t="shared" si="2"/>
        <v>1274.1188433333334</v>
      </c>
      <c r="AG40" s="340">
        <v>2021</v>
      </c>
      <c r="AH40" s="341">
        <v>66.67</v>
      </c>
      <c r="AI40" s="341">
        <v>47</v>
      </c>
      <c r="AJ40" s="341">
        <v>35.9</v>
      </c>
      <c r="AK40" s="341">
        <v>35.43</v>
      </c>
      <c r="AL40" s="341">
        <v>61.039999999999992</v>
      </c>
      <c r="AM40" s="341">
        <v>60.094999999999999</v>
      </c>
      <c r="AN40" s="341">
        <v>50.120625000000004</v>
      </c>
      <c r="AO40" s="341">
        <v>41.506458333333327</v>
      </c>
      <c r="AP40" s="341">
        <v>34.18</v>
      </c>
      <c r="AQ40" s="341">
        <v>25.449999999999996</v>
      </c>
      <c r="AR40" s="341">
        <v>77.944999999999993</v>
      </c>
      <c r="AS40" s="341">
        <v>79.57168333333334</v>
      </c>
      <c r="AT40" s="352">
        <f t="shared" si="3"/>
        <v>614.90876666666668</v>
      </c>
    </row>
    <row r="41" spans="5:46">
      <c r="E41" s="340">
        <v>2022</v>
      </c>
      <c r="F41" s="341">
        <v>143.4</v>
      </c>
      <c r="G41" s="341">
        <v>240.1</v>
      </c>
      <c r="H41" s="341">
        <v>123.3</v>
      </c>
      <c r="I41" s="341">
        <v>106</v>
      </c>
      <c r="J41" s="341">
        <v>239.4</v>
      </c>
      <c r="K41" s="341">
        <v>470</v>
      </c>
      <c r="L41" s="341">
        <v>341.9</v>
      </c>
      <c r="M41" s="341">
        <v>727.5</v>
      </c>
      <c r="N41" s="341">
        <v>685.3</v>
      </c>
      <c r="O41" s="341">
        <v>269.89999999999998</v>
      </c>
      <c r="P41" s="341">
        <v>263</v>
      </c>
      <c r="Q41" s="341">
        <v>290.5</v>
      </c>
      <c r="R41" s="352">
        <f t="shared" si="1"/>
        <v>3900.2999999999997</v>
      </c>
      <c r="S41" s="340">
        <v>2022</v>
      </c>
      <c r="T41" s="341">
        <v>91</v>
      </c>
      <c r="U41" s="341">
        <v>111.2</v>
      </c>
      <c r="V41" s="341">
        <v>94.8</v>
      </c>
      <c r="W41" s="341">
        <v>99.55</v>
      </c>
      <c r="X41" s="341">
        <v>106.07</v>
      </c>
      <c r="Y41" s="341">
        <v>189</v>
      </c>
      <c r="Z41" s="341">
        <v>171.7</v>
      </c>
      <c r="AA41" s="341">
        <v>239.9</v>
      </c>
      <c r="AB41" s="341">
        <v>183.6</v>
      </c>
      <c r="AC41" s="341">
        <v>135.9</v>
      </c>
      <c r="AD41" s="341">
        <v>74.5</v>
      </c>
      <c r="AE41" s="341">
        <v>77.900000000000006</v>
      </c>
      <c r="AF41" s="352">
        <f t="shared" si="2"/>
        <v>1575.1200000000001</v>
      </c>
      <c r="AG41" s="340">
        <v>2022</v>
      </c>
      <c r="AH41" s="341">
        <v>36.369999999999997</v>
      </c>
      <c r="AI41" s="341">
        <v>39.700000000000003</v>
      </c>
      <c r="AJ41" s="341">
        <v>31.5</v>
      </c>
      <c r="AK41" s="341">
        <v>70.92</v>
      </c>
      <c r="AL41" s="341">
        <v>38.520000000000003</v>
      </c>
      <c r="AM41" s="341">
        <v>41.1</v>
      </c>
      <c r="AN41" s="341">
        <v>49.3</v>
      </c>
      <c r="AO41" s="341">
        <v>31.3</v>
      </c>
      <c r="AP41" s="341">
        <v>52.6</v>
      </c>
      <c r="AQ41" s="341">
        <v>70</v>
      </c>
      <c r="AR41" s="341">
        <v>38.1</v>
      </c>
      <c r="AS41" s="341">
        <v>36.799999999999997</v>
      </c>
      <c r="AT41" s="352">
        <f t="shared" si="3"/>
        <v>536.21</v>
      </c>
    </row>
    <row r="42" spans="5:46">
      <c r="E42" s="340">
        <v>2023</v>
      </c>
      <c r="F42" s="341">
        <v>178.7</v>
      </c>
      <c r="G42" s="341">
        <v>162.9</v>
      </c>
      <c r="H42" s="341">
        <v>154.4</v>
      </c>
      <c r="I42" s="341">
        <v>60.7</v>
      </c>
      <c r="J42" s="341">
        <v>20.9</v>
      </c>
      <c r="K42" s="341">
        <v>225.5</v>
      </c>
      <c r="L42" s="341">
        <v>269.39999999999998</v>
      </c>
      <c r="M42" s="341">
        <v>2</v>
      </c>
      <c r="N42" s="341">
        <v>36.6</v>
      </c>
      <c r="O42" s="341">
        <v>5</v>
      </c>
      <c r="P42" s="341">
        <v>217</v>
      </c>
      <c r="Q42" s="341">
        <v>125.6</v>
      </c>
      <c r="R42" s="352">
        <f t="shared" si="1"/>
        <v>1458.6999999999998</v>
      </c>
      <c r="S42" s="340">
        <v>2023</v>
      </c>
      <c r="T42" s="341">
        <v>88.9</v>
      </c>
      <c r="U42" s="341">
        <v>143.6</v>
      </c>
      <c r="V42" s="341">
        <v>50.2</v>
      </c>
      <c r="W42" s="341">
        <v>33.5</v>
      </c>
      <c r="X42" s="341">
        <v>23.2</v>
      </c>
      <c r="Y42" s="341">
        <v>99.3</v>
      </c>
      <c r="Z42" s="341">
        <v>109.5</v>
      </c>
      <c r="AA42" s="341">
        <v>3.8</v>
      </c>
      <c r="AB42" s="341">
        <v>11.6</v>
      </c>
      <c r="AC42" s="341">
        <v>2</v>
      </c>
      <c r="AD42" s="341">
        <v>84.3</v>
      </c>
      <c r="AE42" s="341">
        <v>41.7</v>
      </c>
      <c r="AF42" s="352">
        <f t="shared" si="2"/>
        <v>691.6</v>
      </c>
      <c r="AG42" s="340">
        <v>2023</v>
      </c>
      <c r="AH42" s="341">
        <v>38.15</v>
      </c>
      <c r="AI42" s="341">
        <v>66.8</v>
      </c>
      <c r="AJ42" s="341">
        <v>46.7</v>
      </c>
      <c r="AK42" s="341">
        <v>23.4</v>
      </c>
      <c r="AL42" s="341">
        <v>18.7</v>
      </c>
      <c r="AM42" s="341">
        <v>45.25</v>
      </c>
      <c r="AN42" s="341">
        <v>53.13</v>
      </c>
      <c r="AO42" s="341">
        <v>1</v>
      </c>
      <c r="AP42" s="341">
        <v>8.3000000000000007</v>
      </c>
      <c r="AQ42" s="341">
        <v>1.7</v>
      </c>
      <c r="AR42" s="341">
        <v>54.05</v>
      </c>
      <c r="AS42" s="341">
        <v>17.309999999999999</v>
      </c>
      <c r="AT42" s="352">
        <f t="shared" si="3"/>
        <v>374.49</v>
      </c>
    </row>
    <row r="43" spans="5:46">
      <c r="E43" s="340">
        <v>2024</v>
      </c>
      <c r="F43" s="341">
        <v>264.89999999999998</v>
      </c>
      <c r="G43" s="341">
        <v>183.8</v>
      </c>
      <c r="H43" s="341">
        <v>145.69999999999999</v>
      </c>
      <c r="I43" s="341">
        <v>233.4</v>
      </c>
      <c r="J43" s="341">
        <v>314.60000000000002</v>
      </c>
      <c r="K43" s="341">
        <v>336</v>
      </c>
      <c r="L43" s="341">
        <v>95</v>
      </c>
      <c r="M43" s="341">
        <v>83</v>
      </c>
      <c r="N43" s="341">
        <v>72.2</v>
      </c>
      <c r="O43" s="341">
        <v>101</v>
      </c>
      <c r="P43" s="341">
        <v>112.7</v>
      </c>
      <c r="Q43" s="341">
        <v>112.7</v>
      </c>
      <c r="R43" s="352">
        <f t="shared" ref="R43:R45" si="4">SUM(F43:Q43)</f>
        <v>2055</v>
      </c>
      <c r="S43" s="340">
        <v>2024</v>
      </c>
      <c r="T43" s="341">
        <v>93.3</v>
      </c>
      <c r="U43" s="341">
        <v>99.9</v>
      </c>
      <c r="V43" s="341">
        <v>73.3</v>
      </c>
      <c r="W43" s="341">
        <v>63.83</v>
      </c>
      <c r="X43" s="341">
        <v>131.38</v>
      </c>
      <c r="Y43" s="341">
        <v>119.87</v>
      </c>
      <c r="Z43" s="341">
        <v>40.32</v>
      </c>
      <c r="AA43" s="341">
        <v>42.33</v>
      </c>
      <c r="AB43" s="341">
        <v>24.67</v>
      </c>
      <c r="AC43" s="341">
        <v>23.33</v>
      </c>
      <c r="AD43" s="341">
        <v>30.25</v>
      </c>
      <c r="AE43" s="341">
        <v>43.01</v>
      </c>
      <c r="AF43" s="352">
        <f>SUM(T43:AE43)</f>
        <v>785.49</v>
      </c>
      <c r="AG43" s="340">
        <v>2024</v>
      </c>
      <c r="AH43" s="341">
        <v>60.05</v>
      </c>
      <c r="AI43" s="341">
        <v>35.979999999999997</v>
      </c>
      <c r="AJ43" s="341">
        <v>27.52</v>
      </c>
      <c r="AK43" s="341">
        <v>28.25</v>
      </c>
      <c r="AL43" s="341">
        <v>28.93</v>
      </c>
      <c r="AM43" s="341">
        <v>17.97</v>
      </c>
      <c r="AN43" s="341" t="s">
        <v>318</v>
      </c>
      <c r="AO43" s="341" t="s">
        <v>318</v>
      </c>
      <c r="AP43" s="341" t="s">
        <v>318</v>
      </c>
      <c r="AQ43" s="341" t="s">
        <v>318</v>
      </c>
      <c r="AR43" s="341" t="s">
        <v>318</v>
      </c>
      <c r="AS43" s="341">
        <v>0</v>
      </c>
      <c r="AT43" s="352">
        <f t="shared" si="3"/>
        <v>198.70000000000002</v>
      </c>
    </row>
    <row r="44" spans="5:46">
      <c r="E44" s="340">
        <v>2025</v>
      </c>
      <c r="F44" s="341">
        <v>74.400000000000006</v>
      </c>
      <c r="G44" s="341">
        <v>94</v>
      </c>
      <c r="H44" s="341">
        <v>49.2</v>
      </c>
      <c r="I44" s="341">
        <v>63</v>
      </c>
      <c r="J44" s="341">
        <v>95.5</v>
      </c>
      <c r="K44" s="341">
        <v>232.8</v>
      </c>
      <c r="L44" s="341">
        <v>98.2</v>
      </c>
      <c r="M44" s="341">
        <v>210</v>
      </c>
      <c r="N44" s="341">
        <v>163.5</v>
      </c>
      <c r="O44" s="341">
        <v>216.5</v>
      </c>
      <c r="P44" s="341">
        <v>273</v>
      </c>
      <c r="Q44" s="341">
        <v>205.5</v>
      </c>
      <c r="R44" s="352">
        <f t="shared" si="4"/>
        <v>1775.6000000000001</v>
      </c>
      <c r="S44" s="340">
        <v>2025</v>
      </c>
      <c r="T44" s="341">
        <v>32.613333333174232</v>
      </c>
      <c r="U44" s="341">
        <v>40.56466666656965</v>
      </c>
      <c r="V44" s="341">
        <v>29.362999999930153</v>
      </c>
      <c r="W44" s="341">
        <v>35.496000000000002</v>
      </c>
      <c r="X44" s="341">
        <v>53.352333333372137</v>
      </c>
      <c r="Y44" s="341">
        <v>102.13333333394257</v>
      </c>
      <c r="Z44" s="341">
        <v>63.416666666453239</v>
      </c>
      <c r="AA44" s="341">
        <v>161.6999999997206</v>
      </c>
      <c r="AB44" s="341">
        <v>85.583333333430346</v>
      </c>
      <c r="AC44" s="341">
        <v>80.416666666454148</v>
      </c>
      <c r="AD44" s="341">
        <v>111.71666666603414</v>
      </c>
      <c r="AE44" s="341">
        <v>97.849999999569263</v>
      </c>
      <c r="AF44" s="352">
        <f t="shared" si="2"/>
        <v>894.20599999865044</v>
      </c>
      <c r="AG44" s="340">
        <v>2025</v>
      </c>
      <c r="AH44" s="341">
        <v>0</v>
      </c>
      <c r="AI44" s="341">
        <v>0</v>
      </c>
      <c r="AJ44" s="341">
        <v>0</v>
      </c>
      <c r="AK44" s="341">
        <v>0</v>
      </c>
      <c r="AL44" s="341">
        <v>0</v>
      </c>
      <c r="AM44" s="341">
        <v>10.083333333721384</v>
      </c>
      <c r="AN44" s="341">
        <v>19.566666666883975</v>
      </c>
      <c r="AO44" s="341">
        <v>39.150000000663567</v>
      </c>
      <c r="AP44" s="341">
        <v>27.266666667012032</v>
      </c>
      <c r="AQ44" s="341">
        <v>27.983333333627343</v>
      </c>
      <c r="AR44" s="341">
        <v>35.733333334210329</v>
      </c>
      <c r="AS44" s="341">
        <v>29.133333334000781</v>
      </c>
      <c r="AT44" s="352">
        <f t="shared" si="3"/>
        <v>188.91666667011941</v>
      </c>
    </row>
    <row r="45" spans="5:46">
      <c r="E45" s="340">
        <v>2026</v>
      </c>
      <c r="F45" s="919">
        <v>142.1</v>
      </c>
      <c r="G45" s="919">
        <v>81.2</v>
      </c>
      <c r="H45" s="919">
        <v>15.999999999999998</v>
      </c>
      <c r="I45" s="919">
        <v>33.5</v>
      </c>
      <c r="J45" s="919">
        <v>137.5</v>
      </c>
      <c r="K45" s="919">
        <v>65.899999999999991</v>
      </c>
      <c r="L45" s="919">
        <v>0</v>
      </c>
      <c r="M45" s="919"/>
      <c r="N45" s="919"/>
      <c r="O45" s="919"/>
      <c r="P45" s="919"/>
      <c r="Q45" s="919"/>
      <c r="R45" s="352">
        <f t="shared" si="4"/>
        <v>476.2</v>
      </c>
      <c r="S45" s="340">
        <v>2026</v>
      </c>
      <c r="T45" s="919">
        <v>88.416666666569654</v>
      </c>
      <c r="U45" s="919">
        <v>74.53333333338378</v>
      </c>
      <c r="V45" s="919">
        <v>13.983333333337214</v>
      </c>
      <c r="W45" s="919">
        <v>37.299999999871943</v>
      </c>
      <c r="X45" s="919">
        <v>93.083333333954215</v>
      </c>
      <c r="Y45" s="919">
        <v>26.549999999580905</v>
      </c>
      <c r="Z45" s="919">
        <v>26.549999999580905</v>
      </c>
      <c r="AA45" s="919">
        <v>0</v>
      </c>
      <c r="AB45" s="919"/>
      <c r="AC45" s="919"/>
      <c r="AD45" s="919"/>
      <c r="AE45" s="919"/>
      <c r="AF45" s="352">
        <f t="shared" si="2"/>
        <v>360.41666666627862</v>
      </c>
      <c r="AG45" s="340">
        <v>2026</v>
      </c>
      <c r="AH45" s="919">
        <v>0</v>
      </c>
      <c r="AI45" s="919">
        <v>0</v>
      </c>
      <c r="AJ45" s="919">
        <v>0</v>
      </c>
      <c r="AK45" s="919">
        <v>0</v>
      </c>
      <c r="AL45" s="919">
        <v>0</v>
      </c>
      <c r="AM45" s="919">
        <v>0</v>
      </c>
      <c r="AN45" s="919">
        <v>0</v>
      </c>
      <c r="AO45" s="919">
        <v>0</v>
      </c>
      <c r="AP45" s="919"/>
      <c r="AQ45" s="919"/>
      <c r="AR45" s="919"/>
      <c r="AS45" s="919"/>
      <c r="AT45" s="352">
        <f t="shared" si="3"/>
        <v>0</v>
      </c>
    </row>
    <row r="46" spans="5:46">
      <c r="E46" s="342" t="s">
        <v>258</v>
      </c>
      <c r="F46" s="343">
        <f>AVERAGE(F23:F45)</f>
        <v>253.62463768115938</v>
      </c>
      <c r="G46" s="343">
        <f>AVERAGE(G23:G45)</f>
        <v>215.54565217391308</v>
      </c>
      <c r="H46" s="343">
        <f t="shared" ref="H46:Q46" si="5">AVERAGE(H23:H44)</f>
        <v>230.97734848484845</v>
      </c>
      <c r="I46" s="343">
        <f t="shared" si="5"/>
        <v>232.31060606060603</v>
      </c>
      <c r="J46" s="343">
        <f t="shared" si="5"/>
        <v>327.56893939393933</v>
      </c>
      <c r="K46" s="343">
        <f t="shared" si="5"/>
        <v>365.05515151515152</v>
      </c>
      <c r="L46" s="343">
        <f>AVERAGE(L23:L45)</f>
        <v>244.86462560386474</v>
      </c>
      <c r="M46" s="343">
        <f t="shared" si="5"/>
        <v>187.98560606060616</v>
      </c>
      <c r="N46" s="343">
        <f t="shared" si="5"/>
        <v>138.96212121212122</v>
      </c>
      <c r="O46" s="343">
        <f t="shared" si="5"/>
        <v>158.22636363636369</v>
      </c>
      <c r="P46" s="343">
        <f t="shared" si="5"/>
        <v>191.91553030303029</v>
      </c>
      <c r="Q46" s="343">
        <f t="shared" si="5"/>
        <v>247.39704818029449</v>
      </c>
      <c r="R46" s="353">
        <f t="shared" si="1"/>
        <v>2794.4336303058981</v>
      </c>
      <c r="S46" s="342" t="s">
        <v>258</v>
      </c>
      <c r="T46" s="343">
        <f>AVERAGE(T23:T45)</f>
        <v>114.31381481479775</v>
      </c>
      <c r="U46" s="343">
        <f>AVERAGE(U23:U45)</f>
        <v>97.707181481478358</v>
      </c>
      <c r="V46" s="343">
        <f t="shared" ref="V46:AE46" si="6">AVERAGE(V23:V44)</f>
        <v>71.215621031741037</v>
      </c>
      <c r="W46" s="343">
        <f t="shared" si="6"/>
        <v>73.54009126984127</v>
      </c>
      <c r="X46" s="343">
        <f t="shared" si="6"/>
        <v>104.56024603174879</v>
      </c>
      <c r="Y46" s="343">
        <f t="shared" si="6"/>
        <v>137.61971428575779</v>
      </c>
      <c r="Z46" s="343">
        <f t="shared" si="6"/>
        <v>119.78919841268316</v>
      </c>
      <c r="AA46" s="343">
        <f>AVERAGE(AA23:AA45)</f>
        <v>68.036951111092478</v>
      </c>
      <c r="AB46" s="343">
        <f t="shared" si="6"/>
        <v>51.140595238102165</v>
      </c>
      <c r="AC46" s="343">
        <f t="shared" si="6"/>
        <v>46.613336904746731</v>
      </c>
      <c r="AD46" s="343">
        <f t="shared" si="6"/>
        <v>80.796349126938949</v>
      </c>
      <c r="AE46" s="343">
        <f t="shared" si="6"/>
        <v>106.21398015869941</v>
      </c>
      <c r="AF46" s="353">
        <f t="shared" si="2"/>
        <v>1071.5470798676276</v>
      </c>
      <c r="AG46" s="342" t="s">
        <v>258</v>
      </c>
      <c r="AH46" s="343">
        <f>AVERAGE(AH23:AH45)</f>
        <v>41.189972222222217</v>
      </c>
      <c r="AI46" s="343">
        <f>AVERAGE(AI23:AI45)</f>
        <v>35.065083333333334</v>
      </c>
      <c r="AJ46" s="343">
        <f t="shared" ref="AJ46:AS46" si="7">AVERAGE(AJ23:AJ44)</f>
        <v>32.422371031746032</v>
      </c>
      <c r="AK46" s="343">
        <f t="shared" si="7"/>
        <v>31.226666666666663</v>
      </c>
      <c r="AL46" s="343">
        <f t="shared" si="7"/>
        <v>35.978571428571421</v>
      </c>
      <c r="AM46" s="343">
        <f t="shared" si="7"/>
        <v>33.367251984154699</v>
      </c>
      <c r="AN46" s="343">
        <f>AVERAGE(AN23:AN45)</f>
        <v>29.096235119063142</v>
      </c>
      <c r="AO46" s="343">
        <f>AVERAGE(AO23:AO45)</f>
        <v>17.177127976237873</v>
      </c>
      <c r="AP46" s="343">
        <f t="shared" si="7"/>
        <v>21.273076923103488</v>
      </c>
      <c r="AQ46" s="343">
        <f t="shared" si="7"/>
        <v>20.322564102586718</v>
      </c>
      <c r="AR46" s="343">
        <f t="shared" si="7"/>
        <v>39.723183760751226</v>
      </c>
      <c r="AS46" s="343">
        <f t="shared" si="7"/>
        <v>40.894626587349258</v>
      </c>
      <c r="AT46" s="353">
        <f t="shared" si="3"/>
        <v>377.7367311357861</v>
      </c>
    </row>
    <row r="47" spans="5:46">
      <c r="E47" s="344" t="s">
        <v>259</v>
      </c>
      <c r="F47" s="345">
        <f>MAX(F23:F45)</f>
        <v>617</v>
      </c>
      <c r="G47" s="345">
        <f>MAX(G23:G45)</f>
        <v>507</v>
      </c>
      <c r="H47" s="345">
        <f t="shared" ref="H47:Q47" si="8">MAX(H23:H44)</f>
        <v>400</v>
      </c>
      <c r="I47" s="345">
        <f t="shared" si="8"/>
        <v>488.95</v>
      </c>
      <c r="J47" s="345">
        <f t="shared" si="8"/>
        <v>1000</v>
      </c>
      <c r="K47" s="345">
        <f t="shared" si="8"/>
        <v>1124</v>
      </c>
      <c r="L47" s="345">
        <f>MAX(L23:L45)</f>
        <v>956</v>
      </c>
      <c r="M47" s="345">
        <f t="shared" si="8"/>
        <v>727.5</v>
      </c>
      <c r="N47" s="345">
        <f t="shared" si="8"/>
        <v>685.3</v>
      </c>
      <c r="O47" s="345">
        <f t="shared" si="8"/>
        <v>440.9</v>
      </c>
      <c r="P47" s="345">
        <f t="shared" si="8"/>
        <v>477.76666666666699</v>
      </c>
      <c r="Q47" s="345">
        <f t="shared" si="8"/>
        <v>694</v>
      </c>
      <c r="R47" s="353">
        <f t="shared" si="1"/>
        <v>8118.416666666667</v>
      </c>
      <c r="S47" s="344" t="s">
        <v>259</v>
      </c>
      <c r="T47" s="345">
        <f>MAX(T23:T45)</f>
        <v>197.06666666666666</v>
      </c>
      <c r="U47" s="345">
        <f>MAX(U23:U45)</f>
        <v>185.28999999999996</v>
      </c>
      <c r="V47" s="345">
        <f t="shared" ref="V47:AE47" si="9">MAX(V23:V44)</f>
        <v>111.08999999999999</v>
      </c>
      <c r="W47" s="345">
        <f t="shared" si="9"/>
        <v>140.41</v>
      </c>
      <c r="X47" s="345">
        <f t="shared" si="9"/>
        <v>168.97</v>
      </c>
      <c r="Y47" s="345">
        <f t="shared" si="9"/>
        <v>220.48000000000005</v>
      </c>
      <c r="Z47" s="345">
        <f t="shared" si="9"/>
        <v>282.67</v>
      </c>
      <c r="AA47" s="345">
        <f>MAX(AA23:AA45)</f>
        <v>239.9</v>
      </c>
      <c r="AB47" s="345">
        <f t="shared" si="9"/>
        <v>183.6</v>
      </c>
      <c r="AC47" s="345">
        <f t="shared" si="9"/>
        <v>135.9</v>
      </c>
      <c r="AD47" s="345">
        <f t="shared" si="9"/>
        <v>166.57666666666665</v>
      </c>
      <c r="AE47" s="345">
        <f t="shared" si="9"/>
        <v>251.11000000000004</v>
      </c>
      <c r="AF47" s="353">
        <f t="shared" si="2"/>
        <v>2283.0633333333335</v>
      </c>
      <c r="AG47" s="344" t="s">
        <v>259</v>
      </c>
      <c r="AH47" s="345">
        <f>MAX(AH23:AH45)</f>
        <v>105.48</v>
      </c>
      <c r="AI47" s="345">
        <f>MAX(AI23:AI45)</f>
        <v>76.34</v>
      </c>
      <c r="AJ47" s="345">
        <f t="shared" ref="AJ47:AS47" si="10">MAX(AJ23:AJ44)</f>
        <v>65.5</v>
      </c>
      <c r="AK47" s="345">
        <f t="shared" si="10"/>
        <v>70.92</v>
      </c>
      <c r="AL47" s="345">
        <f t="shared" si="10"/>
        <v>92.94</v>
      </c>
      <c r="AM47" s="345">
        <f t="shared" si="10"/>
        <v>60.47</v>
      </c>
      <c r="AN47" s="345">
        <f>MAX(AN23:AN45)</f>
        <v>60.669999999999995</v>
      </c>
      <c r="AO47" s="345">
        <f>MAX(AO23:AO45)</f>
        <v>54.4</v>
      </c>
      <c r="AP47" s="345">
        <f t="shared" si="10"/>
        <v>52.6</v>
      </c>
      <c r="AQ47" s="345">
        <f t="shared" si="10"/>
        <v>70</v>
      </c>
      <c r="AR47" s="345">
        <f t="shared" si="10"/>
        <v>82.87</v>
      </c>
      <c r="AS47" s="345">
        <f t="shared" si="10"/>
        <v>93.096700000000013</v>
      </c>
      <c r="AT47" s="353">
        <f t="shared" si="3"/>
        <v>885.2867</v>
      </c>
    </row>
    <row r="48" spans="5:46">
      <c r="E48" s="344" t="s">
        <v>260</v>
      </c>
      <c r="F48" s="345">
        <f>MIN(F23:F45)</f>
        <v>74.400000000000006</v>
      </c>
      <c r="G48" s="345">
        <f>MIN(G23:G45)</f>
        <v>78.866666666666703</v>
      </c>
      <c r="H48" s="345">
        <f t="shared" ref="H48:Q48" si="11">MIN(H23:H44)</f>
        <v>49.2</v>
      </c>
      <c r="I48" s="345">
        <f t="shared" si="11"/>
        <v>60.7</v>
      </c>
      <c r="J48" s="345">
        <f t="shared" si="11"/>
        <v>20.9</v>
      </c>
      <c r="K48" s="345">
        <f t="shared" si="11"/>
        <v>81.3333333333333</v>
      </c>
      <c r="L48" s="345">
        <f>MIN(L23:L45)</f>
        <v>0</v>
      </c>
      <c r="M48" s="345">
        <f t="shared" si="11"/>
        <v>0</v>
      </c>
      <c r="N48" s="345">
        <f t="shared" si="11"/>
        <v>0</v>
      </c>
      <c r="O48" s="345">
        <f t="shared" si="11"/>
        <v>5</v>
      </c>
      <c r="P48" s="345">
        <f t="shared" si="11"/>
        <v>55.6</v>
      </c>
      <c r="Q48" s="345">
        <f t="shared" si="11"/>
        <v>24.8</v>
      </c>
      <c r="R48" s="353">
        <f t="shared" si="1"/>
        <v>450.8</v>
      </c>
      <c r="S48" s="344" t="s">
        <v>260</v>
      </c>
      <c r="T48" s="345">
        <f>MIN(T23:T45)</f>
        <v>32.613333333174232</v>
      </c>
      <c r="U48" s="345">
        <f>MIN(U23:U45)</f>
        <v>40.56466666656965</v>
      </c>
      <c r="V48" s="345">
        <f t="shared" ref="V48:AE48" si="12">MIN(V23:V44)</f>
        <v>29.362999999930153</v>
      </c>
      <c r="W48" s="345">
        <f t="shared" si="12"/>
        <v>33.5</v>
      </c>
      <c r="X48" s="345">
        <f t="shared" si="12"/>
        <v>23.2</v>
      </c>
      <c r="Y48" s="345">
        <f t="shared" si="12"/>
        <v>65.950000000000017</v>
      </c>
      <c r="Z48" s="345">
        <f t="shared" si="12"/>
        <v>2.7</v>
      </c>
      <c r="AA48" s="345">
        <f>MIN(AA23:AA45)</f>
        <v>0</v>
      </c>
      <c r="AB48" s="345">
        <f t="shared" si="12"/>
        <v>0</v>
      </c>
      <c r="AC48" s="345">
        <f t="shared" si="12"/>
        <v>2</v>
      </c>
      <c r="AD48" s="345">
        <f t="shared" si="12"/>
        <v>16.809999999999999</v>
      </c>
      <c r="AE48" s="345">
        <f t="shared" si="12"/>
        <v>41.7</v>
      </c>
      <c r="AF48" s="353">
        <f t="shared" si="2"/>
        <v>288.40099999967407</v>
      </c>
      <c r="AG48" s="344" t="s">
        <v>260</v>
      </c>
      <c r="AH48" s="345">
        <f>MIN(AH23:AH45)</f>
        <v>0</v>
      </c>
      <c r="AI48" s="345">
        <f>MIN(AI23:AI45)</f>
        <v>0</v>
      </c>
      <c r="AJ48" s="345">
        <f t="shared" ref="AJ48:AS48" si="13">MIN(AJ23:AJ44)</f>
        <v>0</v>
      </c>
      <c r="AK48" s="345">
        <f t="shared" si="13"/>
        <v>0</v>
      </c>
      <c r="AL48" s="345">
        <f t="shared" si="13"/>
        <v>0</v>
      </c>
      <c r="AM48" s="345">
        <f t="shared" si="13"/>
        <v>10.083333333721384</v>
      </c>
      <c r="AN48" s="345">
        <f>MIN(AN23:AN45)</f>
        <v>0</v>
      </c>
      <c r="AO48" s="345">
        <f>MIN(AO23:AO45)</f>
        <v>0</v>
      </c>
      <c r="AP48" s="345">
        <f t="shared" si="13"/>
        <v>0</v>
      </c>
      <c r="AQ48" s="345">
        <f t="shared" si="13"/>
        <v>1.7</v>
      </c>
      <c r="AR48" s="345">
        <f t="shared" si="13"/>
        <v>11.45</v>
      </c>
      <c r="AS48" s="345">
        <f t="shared" si="13"/>
        <v>0</v>
      </c>
      <c r="AT48" s="353">
        <f t="shared" si="3"/>
        <v>23.233333333721383</v>
      </c>
    </row>
    <row r="295" spans="19:19">
      <c r="S295" s="184">
        <v>4</v>
      </c>
    </row>
    <row r="296" spans="19:19">
      <c r="S296" s="184">
        <v>16</v>
      </c>
    </row>
    <row r="297" spans="19:19">
      <c r="S297" s="184">
        <v>0</v>
      </c>
    </row>
    <row r="298" spans="19:19">
      <c r="S298" s="184">
        <v>0</v>
      </c>
    </row>
    <row r="299" spans="19:19">
      <c r="S299" s="184">
        <v>2</v>
      </c>
    </row>
    <row r="300" spans="19:19">
      <c r="S300" s="184">
        <v>1</v>
      </c>
    </row>
    <row r="301" spans="19:19">
      <c r="S301" s="184">
        <v>0</v>
      </c>
    </row>
    <row r="302" spans="19:19">
      <c r="S302" s="184">
        <v>4</v>
      </c>
    </row>
    <row r="303" spans="19:19">
      <c r="S303" s="184">
        <v>16</v>
      </c>
    </row>
    <row r="304" spans="19:19">
      <c r="S304" s="184">
        <v>0</v>
      </c>
    </row>
    <row r="305" spans="19:19">
      <c r="S305" s="184">
        <v>0</v>
      </c>
    </row>
    <row r="306" spans="19:19">
      <c r="S306" s="184">
        <v>2</v>
      </c>
    </row>
    <row r="307" spans="19:19">
      <c r="S307" s="184">
        <v>1</v>
      </c>
    </row>
    <row r="308" spans="19:19">
      <c r="S308" s="184">
        <v>0</v>
      </c>
    </row>
    <row r="309" spans="19:19">
      <c r="S309" s="184">
        <v>4</v>
      </c>
    </row>
    <row r="310" spans="19:19">
      <c r="S310" s="184">
        <v>16</v>
      </c>
    </row>
    <row r="311" spans="19:19">
      <c r="S311" s="184">
        <v>1</v>
      </c>
    </row>
    <row r="312" spans="19:19">
      <c r="S312" s="184">
        <v>16</v>
      </c>
    </row>
    <row r="313" spans="19:19">
      <c r="S313" s="184">
        <v>3</v>
      </c>
    </row>
    <row r="314" spans="19:19">
      <c r="S314" s="184">
        <v>1</v>
      </c>
    </row>
    <row r="315" spans="19:19">
      <c r="S315" s="184">
        <v>1</v>
      </c>
    </row>
    <row r="316" spans="19:19">
      <c r="S316" s="184">
        <v>4</v>
      </c>
    </row>
    <row r="317" spans="19:19">
      <c r="S317" s="184">
        <v>16</v>
      </c>
    </row>
    <row r="318" spans="19:19">
      <c r="S318" s="184">
        <v>2</v>
      </c>
    </row>
    <row r="319" spans="19:19">
      <c r="S319" s="184">
        <v>16</v>
      </c>
    </row>
    <row r="320" spans="19:19">
      <c r="S320" s="184">
        <v>3</v>
      </c>
    </row>
    <row r="321" spans="19:19">
      <c r="S321" s="184">
        <v>1</v>
      </c>
    </row>
    <row r="322" spans="19:19">
      <c r="S322" s="184">
        <v>1</v>
      </c>
    </row>
    <row r="323" spans="19:19">
      <c r="S323" s="184">
        <v>2</v>
      </c>
    </row>
    <row r="324" spans="19:19">
      <c r="S324" s="184">
        <v>10</v>
      </c>
    </row>
    <row r="327" spans="19:19">
      <c r="S327" s="184">
        <v>2</v>
      </c>
    </row>
    <row r="328" spans="19:19">
      <c r="S328" s="184">
        <v>1</v>
      </c>
    </row>
    <row r="330" spans="19:19">
      <c r="S330" s="184">
        <v>2</v>
      </c>
    </row>
    <row r="331" spans="19:19">
      <c r="S331" s="184">
        <v>10</v>
      </c>
    </row>
    <row r="334" spans="19:19">
      <c r="S334" s="184">
        <v>2</v>
      </c>
    </row>
    <row r="335" spans="19:19">
      <c r="S335" s="184">
        <v>1</v>
      </c>
    </row>
  </sheetData>
  <mergeCells count="6">
    <mergeCell ref="E20:R20"/>
    <mergeCell ref="Q21:R21"/>
    <mergeCell ref="S20:AF20"/>
    <mergeCell ref="AE21:AF21"/>
    <mergeCell ref="AG20:AT20"/>
    <mergeCell ref="AS21:AT21"/>
  </mergeCells>
  <pageMargins left="0.7" right="0.7" top="0.75" bottom="0.75" header="0.3" footer="0.3"/>
  <pageSetup scale="5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C00000"/>
  </sheetPr>
  <dimension ref="A2:AJ58"/>
  <sheetViews>
    <sheetView showGridLines="0" zoomScale="85" zoomScaleNormal="85" zoomScaleSheetLayoutView="85" workbookViewId="0">
      <pane xSplit="2" ySplit="5" topLeftCell="G6" activePane="bottomRight" state="frozen"/>
      <selection pane="topRight"/>
      <selection pane="bottomLeft"/>
      <selection pane="bottomRight" activeCell="B7" sqref="B7"/>
    </sheetView>
  </sheetViews>
  <sheetFormatPr defaultColWidth="8" defaultRowHeight="13.2"/>
  <cols>
    <col min="1" max="1" width="2" style="285" customWidth="1"/>
    <col min="2" max="2" width="11.5546875" style="285" customWidth="1"/>
    <col min="3" max="3" width="11.33203125" style="285" hidden="1" customWidth="1"/>
    <col min="4" max="4" width="0.5546875" style="285" hidden="1" customWidth="1"/>
    <col min="5" max="6" width="9.44140625" style="285" hidden="1" customWidth="1"/>
    <col min="7" max="8" width="9.44140625" style="285" customWidth="1"/>
    <col min="9" max="10" width="9.44140625" style="285" hidden="1" customWidth="1"/>
    <col min="11" max="15" width="9.44140625" style="285" customWidth="1"/>
    <col min="16" max="17" width="9.44140625" style="285" hidden="1" customWidth="1"/>
    <col min="18" max="19" width="9.44140625" style="285" customWidth="1"/>
    <col min="20" max="21" width="9.44140625" style="285" hidden="1" customWidth="1"/>
    <col min="22" max="26" width="9.44140625" style="285" customWidth="1"/>
    <col min="27" max="27" width="8.44140625" style="285" customWidth="1"/>
    <col min="28" max="28" width="15.44140625" style="285" customWidth="1"/>
    <col min="29" max="29" width="13.33203125" style="285" customWidth="1"/>
    <col min="30" max="30" width="8.33203125" style="285" customWidth="1"/>
    <col min="31" max="31" width="8" style="285"/>
    <col min="32" max="32" width="9.33203125" style="285" customWidth="1"/>
    <col min="33" max="34" width="8" style="285"/>
    <col min="35" max="36" width="8.33203125" style="285" customWidth="1"/>
    <col min="37" max="16384" width="8" style="285"/>
  </cols>
  <sheetData>
    <row r="2" spans="1:36"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</row>
    <row r="3" spans="1:36" ht="14.1" customHeight="1">
      <c r="B3" s="1077" t="s">
        <v>261</v>
      </c>
      <c r="C3" s="1074" t="s">
        <v>262</v>
      </c>
      <c r="D3" s="1074"/>
      <c r="E3" s="1074"/>
      <c r="F3" s="1074"/>
      <c r="G3" s="1074"/>
      <c r="H3" s="1074"/>
      <c r="I3" s="1074"/>
      <c r="J3" s="1074"/>
      <c r="K3" s="1074"/>
      <c r="L3" s="1074"/>
      <c r="M3" s="1074"/>
      <c r="N3" s="1074"/>
      <c r="O3" s="1074"/>
      <c r="P3" s="1074"/>
      <c r="Q3" s="1074"/>
      <c r="R3" s="1074"/>
      <c r="S3" s="1074"/>
      <c r="T3" s="1074"/>
      <c r="U3" s="1074"/>
      <c r="V3" s="1074"/>
      <c r="W3" s="1074"/>
      <c r="X3" s="1074"/>
      <c r="Y3" s="1074"/>
      <c r="Z3" s="1074"/>
      <c r="AA3" s="311"/>
    </row>
    <row r="4" spans="1:36" ht="14.1" customHeight="1">
      <c r="B4" s="1078"/>
      <c r="C4" s="1075" t="s">
        <v>263</v>
      </c>
      <c r="D4" s="1075"/>
      <c r="E4" s="1075"/>
      <c r="F4" s="1075"/>
      <c r="G4" s="1075"/>
      <c r="H4" s="1075"/>
      <c r="I4" s="1075"/>
      <c r="J4" s="1075"/>
      <c r="K4" s="1075"/>
      <c r="L4" s="1075"/>
      <c r="M4" s="1075"/>
      <c r="N4" s="1075"/>
      <c r="O4" s="1075"/>
      <c r="P4" s="1076" t="s">
        <v>264</v>
      </c>
      <c r="Q4" s="1076"/>
      <c r="R4" s="1076"/>
      <c r="S4" s="1076"/>
      <c r="T4" s="1076"/>
      <c r="U4" s="1076"/>
      <c r="V4" s="1076"/>
      <c r="W4" s="1076"/>
      <c r="X4" s="1076"/>
      <c r="Y4" s="1076"/>
      <c r="Z4" s="1076"/>
      <c r="AA4" s="311"/>
    </row>
    <row r="5" spans="1:36" ht="25.5" customHeight="1">
      <c r="B5" s="1079"/>
      <c r="C5" s="287" t="s">
        <v>265</v>
      </c>
      <c r="D5" s="287" t="s">
        <v>266</v>
      </c>
      <c r="E5" s="287" t="s">
        <v>267</v>
      </c>
      <c r="F5" s="287" t="s">
        <v>268</v>
      </c>
      <c r="G5" s="288" t="s">
        <v>269</v>
      </c>
      <c r="H5" s="288" t="s">
        <v>270</v>
      </c>
      <c r="I5" s="288" t="s">
        <v>271</v>
      </c>
      <c r="J5" s="288" t="s">
        <v>272</v>
      </c>
      <c r="K5" s="288" t="s">
        <v>273</v>
      </c>
      <c r="L5" s="288" t="s">
        <v>274</v>
      </c>
      <c r="M5" s="288" t="s">
        <v>211</v>
      </c>
      <c r="N5" s="288" t="s">
        <v>275</v>
      </c>
      <c r="O5" s="288" t="s">
        <v>276</v>
      </c>
      <c r="P5" s="306" t="s">
        <v>267</v>
      </c>
      <c r="Q5" s="306" t="s">
        <v>268</v>
      </c>
      <c r="R5" s="306" t="s">
        <v>269</v>
      </c>
      <c r="S5" s="306" t="s">
        <v>270</v>
      </c>
      <c r="T5" s="306" t="s">
        <v>271</v>
      </c>
      <c r="U5" s="306" t="s">
        <v>272</v>
      </c>
      <c r="V5" s="306" t="s">
        <v>273</v>
      </c>
      <c r="W5" s="306" t="s">
        <v>274</v>
      </c>
      <c r="X5" s="306" t="s">
        <v>211</v>
      </c>
      <c r="Y5" s="306" t="s">
        <v>275</v>
      </c>
      <c r="Z5" s="306" t="s">
        <v>276</v>
      </c>
      <c r="AA5" s="311"/>
    </row>
    <row r="6" spans="1:36">
      <c r="A6" s="289">
        <v>1</v>
      </c>
      <c r="B6" s="290">
        <v>46082</v>
      </c>
      <c r="C6" s="291"/>
      <c r="D6" s="291"/>
      <c r="E6" s="291">
        <v>0</v>
      </c>
      <c r="F6" s="291">
        <v>0</v>
      </c>
      <c r="G6" s="291">
        <f>SUMIFS(OB_Act[Count_Exc],OB_Act[Day],'Equipment '!$A6,OB_Act[Shift],1,OB_Act[Pit],"PIT UCEX")</f>
        <v>0</v>
      </c>
      <c r="H6" s="291">
        <f>SUMIFS(OB_Act[Count_DT],OB_Act[Day],'Equipment '!$A6,OB_Act[Shift],1,OB_Act[Pit],"PIT UCEX")</f>
        <v>0</v>
      </c>
      <c r="I6" s="291">
        <v>0</v>
      </c>
      <c r="J6" s="291">
        <v>0</v>
      </c>
      <c r="K6" s="291">
        <v>0</v>
      </c>
      <c r="L6" s="291">
        <v>0</v>
      </c>
      <c r="M6" s="291">
        <v>0</v>
      </c>
      <c r="N6" s="291">
        <v>0</v>
      </c>
      <c r="O6" s="291">
        <v>0</v>
      </c>
      <c r="P6" s="307">
        <v>0</v>
      </c>
      <c r="Q6" s="307">
        <v>0</v>
      </c>
      <c r="R6" s="307">
        <f>SUMIFS(OB_Act[Count_Exc],OB_Act[Day],'Equipment '!$A6,OB_Act[Shift],2)</f>
        <v>0</v>
      </c>
      <c r="S6" s="307">
        <f>SUMIFS(OB_Act[Count_DT],OB_Act[Day],'Equipment '!$A6,OB_Act[Shift],2)</f>
        <v>0</v>
      </c>
      <c r="T6" s="307">
        <v>0</v>
      </c>
      <c r="U6" s="307">
        <v>0</v>
      </c>
      <c r="V6" s="307">
        <v>0</v>
      </c>
      <c r="W6" s="307">
        <v>0</v>
      </c>
      <c r="X6" s="307">
        <v>0</v>
      </c>
      <c r="Y6" s="307">
        <v>0</v>
      </c>
      <c r="Z6" s="307">
        <v>0</v>
      </c>
      <c r="AA6" s="311"/>
      <c r="AH6" s="285" t="s">
        <v>277</v>
      </c>
      <c r="AI6" s="285" t="s">
        <v>278</v>
      </c>
    </row>
    <row r="7" spans="1:36">
      <c r="A7" s="289">
        <v>2</v>
      </c>
      <c r="B7" s="290">
        <f>+$B6+1</f>
        <v>46083</v>
      </c>
      <c r="C7" s="291"/>
      <c r="D7" s="291"/>
      <c r="E7" s="291">
        <v>0</v>
      </c>
      <c r="F7" s="291">
        <v>0</v>
      </c>
      <c r="G7" s="291">
        <f>SUMIFS(OB_Act[Count_Exc],OB_Act[Day],'Equipment '!$A7,OB_Act[Shift],1,OB_Act[Pit],"PIT UCEX")</f>
        <v>0</v>
      </c>
      <c r="H7" s="291">
        <f>SUMIFS(OB_Act[Count_DT],OB_Act[Day],'Equipment '!$A7,OB_Act[Shift],1,OB_Act[Pit],"PIT UCEX")</f>
        <v>0</v>
      </c>
      <c r="I7" s="291">
        <v>0</v>
      </c>
      <c r="J7" s="291">
        <v>0</v>
      </c>
      <c r="K7" s="291">
        <v>0</v>
      </c>
      <c r="L7" s="291">
        <v>0</v>
      </c>
      <c r="M7" s="291">
        <v>0</v>
      </c>
      <c r="N7" s="291">
        <v>0</v>
      </c>
      <c r="O7" s="291">
        <v>0</v>
      </c>
      <c r="P7" s="307">
        <v>0</v>
      </c>
      <c r="Q7" s="307">
        <v>0</v>
      </c>
      <c r="R7" s="307">
        <f>SUMIFS(OB_Act[Count_Exc],OB_Act[Day],'Equipment '!$A7,OB_Act[Shift],2)</f>
        <v>0</v>
      </c>
      <c r="S7" s="307">
        <f>SUMIFS(OB_Act[Count_DT],OB_Act[Day],'Equipment '!$A7,OB_Act[Shift],2)</f>
        <v>0</v>
      </c>
      <c r="T7" s="307">
        <v>0</v>
      </c>
      <c r="U7" s="307">
        <v>0</v>
      </c>
      <c r="V7" s="307">
        <v>0</v>
      </c>
      <c r="W7" s="307">
        <v>0</v>
      </c>
      <c r="X7" s="307">
        <v>0</v>
      </c>
      <c r="Y7" s="307">
        <v>0</v>
      </c>
      <c r="Z7" s="307">
        <v>0</v>
      </c>
      <c r="AA7" s="311">
        <v>2</v>
      </c>
      <c r="AH7" s="285" t="s">
        <v>111</v>
      </c>
      <c r="AI7" s="289">
        <v>1</v>
      </c>
      <c r="AJ7" s="289">
        <v>2</v>
      </c>
    </row>
    <row r="8" spans="1:36">
      <c r="A8" s="289">
        <v>3</v>
      </c>
      <c r="B8" s="290">
        <f t="shared" ref="B8:B36" si="0">+$B7+1</f>
        <v>46084</v>
      </c>
      <c r="C8" s="291"/>
      <c r="D8" s="291"/>
      <c r="E8" s="291">
        <v>0</v>
      </c>
      <c r="F8" s="291">
        <v>0</v>
      </c>
      <c r="G8" s="291">
        <f>SUMIFS(OB_Act[Count_Exc],OB_Act[Day],'Equipment '!$A8,OB_Act[Shift],1,OB_Act[Pit],"PIT UCEX")</f>
        <v>0</v>
      </c>
      <c r="H8" s="291">
        <f>SUMIFS(OB_Act[Count_DT],OB_Act[Day],'Equipment '!$A8,OB_Act[Shift],1,OB_Act[Pit],"PIT UCEX")</f>
        <v>0</v>
      </c>
      <c r="I8" s="291">
        <v>0</v>
      </c>
      <c r="J8" s="291">
        <v>0</v>
      </c>
      <c r="K8" s="291">
        <v>0</v>
      </c>
      <c r="L8" s="291">
        <v>0</v>
      </c>
      <c r="M8" s="291">
        <v>0</v>
      </c>
      <c r="N8" s="291">
        <v>0</v>
      </c>
      <c r="O8" s="291">
        <v>0</v>
      </c>
      <c r="P8" s="307">
        <v>0</v>
      </c>
      <c r="Q8" s="307">
        <v>0</v>
      </c>
      <c r="R8" s="307">
        <f>SUMIFS(OB_Act[Count_Exc],OB_Act[Day],'Equipment '!$A8,OB_Act[Shift],2)</f>
        <v>0</v>
      </c>
      <c r="S8" s="307">
        <f>SUMIFS(OB_Act[Count_DT],OB_Act[Day],'Equipment '!$A8,OB_Act[Shift],2)</f>
        <v>0</v>
      </c>
      <c r="T8" s="307">
        <v>0</v>
      </c>
      <c r="U8" s="307">
        <v>0</v>
      </c>
      <c r="V8" s="307">
        <v>0</v>
      </c>
      <c r="W8" s="307">
        <v>0</v>
      </c>
      <c r="X8" s="307">
        <v>0</v>
      </c>
      <c r="Y8" s="307">
        <v>0</v>
      </c>
      <c r="Z8" s="307">
        <v>0</v>
      </c>
      <c r="AA8" s="311"/>
    </row>
    <row r="9" spans="1:36">
      <c r="A9" s="289">
        <v>4</v>
      </c>
      <c r="B9" s="290">
        <f t="shared" si="0"/>
        <v>46085</v>
      </c>
      <c r="C9" s="291"/>
      <c r="D9" s="291"/>
      <c r="E9" s="291">
        <v>0</v>
      </c>
      <c r="F9" s="291">
        <v>0</v>
      </c>
      <c r="G9" s="291">
        <f>SUMIFS(OB_Act[Count_Exc],OB_Act[Day],'Equipment '!$A9,OB_Act[Shift],1,OB_Act[Pit],"PIT UCEX")</f>
        <v>0</v>
      </c>
      <c r="H9" s="291">
        <f>SUMIFS(OB_Act[Count_DT],OB_Act[Day],'Equipment '!$A9,OB_Act[Shift],1,OB_Act[Pit],"PIT UCEX")</f>
        <v>0</v>
      </c>
      <c r="I9" s="291">
        <v>0</v>
      </c>
      <c r="J9" s="291">
        <v>0</v>
      </c>
      <c r="K9" s="291">
        <v>0</v>
      </c>
      <c r="L9" s="291">
        <v>0</v>
      </c>
      <c r="M9" s="291">
        <v>0</v>
      </c>
      <c r="N9" s="291">
        <v>0</v>
      </c>
      <c r="O9" s="291">
        <v>0</v>
      </c>
      <c r="P9" s="307">
        <v>0</v>
      </c>
      <c r="Q9" s="307">
        <v>0</v>
      </c>
      <c r="R9" s="307">
        <f>SUMIFS(OB_Act[Count_Exc],OB_Act[Day],'Equipment '!$A9,OB_Act[Shift],2)</f>
        <v>0</v>
      </c>
      <c r="S9" s="307">
        <f>SUMIFS(OB_Act[Count_DT],OB_Act[Day],'Equipment '!$A9,OB_Act[Shift],2)</f>
        <v>0</v>
      </c>
      <c r="T9" s="307">
        <v>0</v>
      </c>
      <c r="U9" s="307">
        <v>0</v>
      </c>
      <c r="V9" s="307">
        <v>0</v>
      </c>
      <c r="W9" s="307">
        <v>0</v>
      </c>
      <c r="X9" s="307">
        <v>0</v>
      </c>
      <c r="Y9" s="307">
        <v>0</v>
      </c>
      <c r="Z9" s="307">
        <v>0</v>
      </c>
      <c r="AA9" s="311">
        <v>2</v>
      </c>
    </row>
    <row r="10" spans="1:36">
      <c r="A10" s="289">
        <v>5</v>
      </c>
      <c r="B10" s="290">
        <f t="shared" si="0"/>
        <v>46086</v>
      </c>
      <c r="C10" s="291"/>
      <c r="D10" s="291"/>
      <c r="E10" s="291">
        <v>0</v>
      </c>
      <c r="F10" s="291">
        <v>0</v>
      </c>
      <c r="G10" s="291">
        <f>SUMIFS(OB_Act[Count_Exc],OB_Act[Day],'Equipment '!$A10,OB_Act[Shift],1,OB_Act[Pit],"PIT UCEX")</f>
        <v>0</v>
      </c>
      <c r="H10" s="291">
        <f>SUMIFS(OB_Act[Count_DT],OB_Act[Day],'Equipment '!$A10,OB_Act[Shift],1,OB_Act[Pit],"PIT UCEX")</f>
        <v>0</v>
      </c>
      <c r="I10" s="291">
        <v>0</v>
      </c>
      <c r="J10" s="291">
        <v>0</v>
      </c>
      <c r="K10" s="291">
        <v>0</v>
      </c>
      <c r="L10" s="291">
        <v>0</v>
      </c>
      <c r="M10" s="291">
        <v>0</v>
      </c>
      <c r="N10" s="291">
        <v>0</v>
      </c>
      <c r="O10" s="291">
        <v>0</v>
      </c>
      <c r="P10" s="307">
        <v>0</v>
      </c>
      <c r="Q10" s="307">
        <v>0</v>
      </c>
      <c r="R10" s="307">
        <f>SUMIFS(OB_Act[Count_Exc],OB_Act[Day],'Equipment '!$A10,OB_Act[Shift],2)</f>
        <v>0</v>
      </c>
      <c r="S10" s="307">
        <f>SUMIFS(OB_Act[Count_DT],OB_Act[Day],'Equipment '!$A10,OB_Act[Shift],2)</f>
        <v>0</v>
      </c>
      <c r="T10" s="307">
        <v>0</v>
      </c>
      <c r="U10" s="307">
        <v>0</v>
      </c>
      <c r="V10" s="307">
        <v>0</v>
      </c>
      <c r="W10" s="307">
        <v>0</v>
      </c>
      <c r="X10" s="307">
        <v>0</v>
      </c>
      <c r="Y10" s="307">
        <v>0</v>
      </c>
      <c r="Z10" s="307">
        <v>0</v>
      </c>
      <c r="AA10" s="311">
        <v>1</v>
      </c>
    </row>
    <row r="11" spans="1:36">
      <c r="A11" s="289">
        <v>6</v>
      </c>
      <c r="B11" s="290">
        <f t="shared" si="0"/>
        <v>46087</v>
      </c>
      <c r="C11" s="291"/>
      <c r="D11" s="291"/>
      <c r="E11" s="291">
        <v>0</v>
      </c>
      <c r="F11" s="291">
        <v>0</v>
      </c>
      <c r="G11" s="291">
        <f>SUMIFS(OB_Act[Count_Exc],OB_Act[Day],'Equipment '!$A11,OB_Act[Shift],1,OB_Act[Pit],"PIT UCEX")</f>
        <v>0</v>
      </c>
      <c r="H11" s="291">
        <f>SUMIFS(OB_Act[Count_DT],OB_Act[Day],'Equipment '!$A11,OB_Act[Shift],1,OB_Act[Pit],"PIT UCEX")</f>
        <v>0</v>
      </c>
      <c r="I11" s="291">
        <v>0</v>
      </c>
      <c r="J11" s="291">
        <v>0</v>
      </c>
      <c r="K11" s="291">
        <v>0</v>
      </c>
      <c r="L11" s="291">
        <v>0</v>
      </c>
      <c r="M11" s="291">
        <v>0</v>
      </c>
      <c r="N11" s="291">
        <v>0</v>
      </c>
      <c r="O11" s="291">
        <v>0</v>
      </c>
      <c r="P11" s="307">
        <v>0</v>
      </c>
      <c r="Q11" s="307">
        <v>0</v>
      </c>
      <c r="R11" s="307">
        <f>SUMIFS(OB_Act[Count_Exc],OB_Act[Day],'Equipment '!$A11,OB_Act[Shift],2)</f>
        <v>0</v>
      </c>
      <c r="S11" s="307">
        <f>SUMIFS(OB_Act[Count_DT],OB_Act[Day],'Equipment '!$A11,OB_Act[Shift],2)</f>
        <v>0</v>
      </c>
      <c r="T11" s="307">
        <v>0</v>
      </c>
      <c r="U11" s="307">
        <v>0</v>
      </c>
      <c r="V11" s="307">
        <v>0</v>
      </c>
      <c r="W11" s="307">
        <v>0</v>
      </c>
      <c r="X11" s="307">
        <v>0</v>
      </c>
      <c r="Y11" s="307">
        <v>0</v>
      </c>
      <c r="Z11" s="307">
        <v>0</v>
      </c>
      <c r="AA11" s="311"/>
    </row>
    <row r="12" spans="1:36">
      <c r="A12" s="289">
        <v>7</v>
      </c>
      <c r="B12" s="290">
        <f t="shared" si="0"/>
        <v>46088</v>
      </c>
      <c r="C12" s="291"/>
      <c r="D12" s="291"/>
      <c r="E12" s="291">
        <v>0</v>
      </c>
      <c r="F12" s="291">
        <v>0</v>
      </c>
      <c r="G12" s="291">
        <f>SUMIFS(OB_Act[Count_Exc],OB_Act[Day],'Equipment '!$A12,OB_Act[Shift],1,OB_Act[Pit],"PIT UCEX")</f>
        <v>0</v>
      </c>
      <c r="H12" s="291">
        <f>SUMIFS(OB_Act[Count_DT],OB_Act[Day],'Equipment '!$A12,OB_Act[Shift],1,OB_Act[Pit],"PIT UCEX")</f>
        <v>0</v>
      </c>
      <c r="I12" s="291">
        <v>0</v>
      </c>
      <c r="J12" s="291">
        <v>0</v>
      </c>
      <c r="K12" s="291">
        <v>0</v>
      </c>
      <c r="L12" s="291">
        <v>0</v>
      </c>
      <c r="M12" s="291">
        <v>0</v>
      </c>
      <c r="N12" s="291">
        <v>0</v>
      </c>
      <c r="O12" s="291">
        <v>0</v>
      </c>
      <c r="P12" s="307">
        <v>0</v>
      </c>
      <c r="Q12" s="307">
        <v>0</v>
      </c>
      <c r="R12" s="307">
        <f>SUMIFS(OB_Act[Count_Exc],OB_Act[Day],'Equipment '!$A12,OB_Act[Shift],2)</f>
        <v>0</v>
      </c>
      <c r="S12" s="307">
        <f>SUMIFS(OB_Act[Count_DT],OB_Act[Day],'Equipment '!$A12,OB_Act[Shift],2)</f>
        <v>0</v>
      </c>
      <c r="T12" s="307">
        <v>0</v>
      </c>
      <c r="U12" s="307">
        <v>0</v>
      </c>
      <c r="V12" s="307">
        <v>0</v>
      </c>
      <c r="W12" s="307">
        <v>0</v>
      </c>
      <c r="X12" s="307">
        <v>0</v>
      </c>
      <c r="Y12" s="307">
        <v>0</v>
      </c>
      <c r="Z12" s="307">
        <v>0</v>
      </c>
      <c r="AA12" s="311">
        <v>2</v>
      </c>
    </row>
    <row r="13" spans="1:36">
      <c r="A13" s="289">
        <v>8</v>
      </c>
      <c r="B13" s="290">
        <f t="shared" si="0"/>
        <v>46089</v>
      </c>
      <c r="C13" s="291"/>
      <c r="D13" s="291"/>
      <c r="E13" s="291">
        <v>0</v>
      </c>
      <c r="F13" s="291">
        <v>0</v>
      </c>
      <c r="G13" s="291">
        <f>SUMIFS(OB_Act[Count_Exc],OB_Act[Day],'Equipment '!$A13,OB_Act[Shift],1,OB_Act[Pit],"PIT UCEX")</f>
        <v>0</v>
      </c>
      <c r="H13" s="291">
        <f>SUMIFS(OB_Act[Count_DT],OB_Act[Day],'Equipment '!$A13,OB_Act[Shift],1,OB_Act[Pit],"PIT UCEX")</f>
        <v>0</v>
      </c>
      <c r="I13" s="291">
        <v>0</v>
      </c>
      <c r="J13" s="291">
        <v>0</v>
      </c>
      <c r="K13" s="291">
        <v>0</v>
      </c>
      <c r="L13" s="291">
        <v>0</v>
      </c>
      <c r="M13" s="291">
        <v>0</v>
      </c>
      <c r="N13" s="291">
        <v>0</v>
      </c>
      <c r="O13" s="291">
        <v>0</v>
      </c>
      <c r="P13" s="307">
        <v>0</v>
      </c>
      <c r="Q13" s="307">
        <v>0</v>
      </c>
      <c r="R13" s="307">
        <f>SUMIFS(OB_Act[Count_Exc],OB_Act[Day],'Equipment '!$A13,OB_Act[Shift],2)</f>
        <v>0</v>
      </c>
      <c r="S13" s="307">
        <f>SUMIFS(OB_Act[Count_DT],OB_Act[Day],'Equipment '!$A13,OB_Act[Shift],2)</f>
        <v>0</v>
      </c>
      <c r="T13" s="307">
        <v>0</v>
      </c>
      <c r="U13" s="307">
        <v>0</v>
      </c>
      <c r="V13" s="307">
        <v>0</v>
      </c>
      <c r="W13" s="307">
        <v>0</v>
      </c>
      <c r="X13" s="307">
        <v>0</v>
      </c>
      <c r="Y13" s="307">
        <v>0</v>
      </c>
      <c r="Z13" s="307">
        <v>0</v>
      </c>
      <c r="AA13" s="311">
        <v>2</v>
      </c>
      <c r="AD13" s="312"/>
    </row>
    <row r="14" spans="1:36">
      <c r="A14" s="289">
        <v>9</v>
      </c>
      <c r="B14" s="290">
        <f t="shared" si="0"/>
        <v>46090</v>
      </c>
      <c r="C14" s="291"/>
      <c r="D14" s="291"/>
      <c r="E14" s="291">
        <v>0</v>
      </c>
      <c r="F14" s="291">
        <v>0</v>
      </c>
      <c r="G14" s="291">
        <f>SUMIFS(OB_Act[Count_Exc],OB_Act[Day],'Equipment '!$A14,OB_Act[Shift],1,OB_Act[Pit],"PIT UCEX")</f>
        <v>0</v>
      </c>
      <c r="H14" s="291">
        <f>SUMIFS(OB_Act[Count_DT],OB_Act[Day],'Equipment '!$A14,OB_Act[Shift],1,OB_Act[Pit],"PIT UCEX")</f>
        <v>0</v>
      </c>
      <c r="I14" s="291">
        <v>0</v>
      </c>
      <c r="J14" s="291">
        <v>0</v>
      </c>
      <c r="K14" s="291">
        <v>0</v>
      </c>
      <c r="L14" s="291">
        <v>0</v>
      </c>
      <c r="M14" s="291">
        <v>0</v>
      </c>
      <c r="N14" s="291">
        <v>0</v>
      </c>
      <c r="O14" s="291">
        <v>0</v>
      </c>
      <c r="P14" s="307">
        <v>0</v>
      </c>
      <c r="Q14" s="307">
        <v>0</v>
      </c>
      <c r="R14" s="307">
        <f>SUMIFS(OB_Act[Count_Exc],OB_Act[Day],'Equipment '!$A14,OB_Act[Shift],2)</f>
        <v>0</v>
      </c>
      <c r="S14" s="307">
        <f>SUMIFS(OB_Act[Count_DT],OB_Act[Day],'Equipment '!$A14,OB_Act[Shift],2)</f>
        <v>0</v>
      </c>
      <c r="T14" s="307">
        <v>0</v>
      </c>
      <c r="U14" s="307">
        <v>0</v>
      </c>
      <c r="V14" s="307">
        <v>0</v>
      </c>
      <c r="W14" s="307">
        <v>0</v>
      </c>
      <c r="X14" s="307">
        <v>0</v>
      </c>
      <c r="Y14" s="307">
        <v>0</v>
      </c>
      <c r="Z14" s="307">
        <v>0</v>
      </c>
      <c r="AA14" s="311"/>
      <c r="AF14" s="312"/>
      <c r="AH14" s="312"/>
    </row>
    <row r="15" spans="1:36" ht="13.5" customHeight="1">
      <c r="A15" s="289">
        <v>10</v>
      </c>
      <c r="B15" s="290">
        <f t="shared" si="0"/>
        <v>46091</v>
      </c>
      <c r="C15" s="291"/>
      <c r="D15" s="291"/>
      <c r="E15" s="291">
        <v>0</v>
      </c>
      <c r="F15" s="291">
        <v>0</v>
      </c>
      <c r="G15" s="291">
        <f>SUMIFS(OB_Act[Count_Exc],OB_Act[Day],'Equipment '!$A15,OB_Act[Shift],1,OB_Act[Pit],"PIT UCEX")</f>
        <v>0</v>
      </c>
      <c r="H15" s="291">
        <f>SUMIFS(OB_Act[Count_DT],OB_Act[Day],'Equipment '!$A15,OB_Act[Shift],1,OB_Act[Pit],"PIT UCEX")</f>
        <v>0</v>
      </c>
      <c r="I15" s="291">
        <v>0</v>
      </c>
      <c r="J15" s="291">
        <v>0</v>
      </c>
      <c r="K15" s="291">
        <v>0</v>
      </c>
      <c r="L15" s="291">
        <v>0</v>
      </c>
      <c r="M15" s="291">
        <v>0</v>
      </c>
      <c r="N15" s="291">
        <v>0</v>
      </c>
      <c r="O15" s="291">
        <v>0</v>
      </c>
      <c r="P15" s="307">
        <v>0</v>
      </c>
      <c r="Q15" s="307">
        <v>0</v>
      </c>
      <c r="R15" s="307">
        <f>SUMIFS(OB_Act[Count_Exc],OB_Act[Day],'Equipment '!$A15,OB_Act[Shift],2)</f>
        <v>0</v>
      </c>
      <c r="S15" s="307">
        <f>SUMIFS(OB_Act[Count_DT],OB_Act[Day],'Equipment '!$A15,OB_Act[Shift],2)</f>
        <v>0</v>
      </c>
      <c r="T15" s="307">
        <v>0</v>
      </c>
      <c r="U15" s="307">
        <v>0</v>
      </c>
      <c r="V15" s="307">
        <v>0</v>
      </c>
      <c r="W15" s="307">
        <v>0</v>
      </c>
      <c r="X15" s="307">
        <v>0</v>
      </c>
      <c r="Y15" s="307">
        <v>0</v>
      </c>
      <c r="Z15" s="307">
        <v>0</v>
      </c>
      <c r="AA15" s="311">
        <v>2</v>
      </c>
    </row>
    <row r="16" spans="1:36" ht="13.5" customHeight="1">
      <c r="A16" s="289">
        <v>11</v>
      </c>
      <c r="B16" s="290">
        <f t="shared" si="0"/>
        <v>46092</v>
      </c>
      <c r="C16" s="291"/>
      <c r="D16" s="291"/>
      <c r="E16" s="291">
        <v>0</v>
      </c>
      <c r="F16" s="291">
        <v>0</v>
      </c>
      <c r="G16" s="291">
        <f>SUMIFS(OB_Act[Count_Exc],OB_Act[Day],'Equipment '!$A16,OB_Act[Shift],1,OB_Act[Pit],"PIT UCEX")</f>
        <v>0</v>
      </c>
      <c r="H16" s="291">
        <f>SUMIFS(OB_Act[Count_DT],OB_Act[Day],'Equipment '!$A16,OB_Act[Shift],1,OB_Act[Pit],"PIT UCEX")</f>
        <v>0</v>
      </c>
      <c r="I16" s="291">
        <v>0</v>
      </c>
      <c r="J16" s="291">
        <v>0</v>
      </c>
      <c r="K16" s="291">
        <v>0</v>
      </c>
      <c r="L16" s="291">
        <v>0</v>
      </c>
      <c r="M16" s="291">
        <v>0</v>
      </c>
      <c r="N16" s="291">
        <v>0</v>
      </c>
      <c r="O16" s="291">
        <v>0</v>
      </c>
      <c r="P16" s="307">
        <v>0</v>
      </c>
      <c r="Q16" s="307">
        <v>0</v>
      </c>
      <c r="R16" s="307">
        <f>SUMIFS(OB_Act[Count_Exc],OB_Act[Day],'Equipment '!$A16,OB_Act[Shift],2)</f>
        <v>0</v>
      </c>
      <c r="S16" s="307">
        <f>SUMIFS(OB_Act[Count_DT],OB_Act[Day],'Equipment '!$A16,OB_Act[Shift],2)</f>
        <v>0</v>
      </c>
      <c r="T16" s="307">
        <v>0</v>
      </c>
      <c r="U16" s="307">
        <v>0</v>
      </c>
      <c r="V16" s="307">
        <v>0</v>
      </c>
      <c r="W16" s="307">
        <v>0</v>
      </c>
      <c r="X16" s="307">
        <v>0</v>
      </c>
      <c r="Y16" s="307">
        <v>0</v>
      </c>
      <c r="Z16" s="307">
        <v>0</v>
      </c>
      <c r="AA16" s="311"/>
      <c r="AF16" s="313"/>
    </row>
    <row r="17" spans="1:30" ht="13.5" customHeight="1">
      <c r="A17" s="289">
        <v>12</v>
      </c>
      <c r="B17" s="290">
        <f t="shared" si="0"/>
        <v>46093</v>
      </c>
      <c r="C17" s="291"/>
      <c r="D17" s="291"/>
      <c r="E17" s="291">
        <v>0</v>
      </c>
      <c r="F17" s="291">
        <v>0</v>
      </c>
      <c r="G17" s="291">
        <f>SUMIFS(OB_Act[Count_Exc],OB_Act[Day],'Equipment '!$A17,OB_Act[Shift],1,OB_Act[Pit],"PIT UCEX")</f>
        <v>0</v>
      </c>
      <c r="H17" s="291">
        <f>SUMIFS(OB_Act[Count_DT],OB_Act[Day],'Equipment '!$A17,OB_Act[Shift],1,OB_Act[Pit],"PIT UCEX")</f>
        <v>0</v>
      </c>
      <c r="I17" s="291">
        <v>0</v>
      </c>
      <c r="J17" s="291">
        <v>0</v>
      </c>
      <c r="K17" s="291">
        <v>0</v>
      </c>
      <c r="L17" s="291">
        <v>0</v>
      </c>
      <c r="M17" s="291">
        <v>0</v>
      </c>
      <c r="N17" s="291">
        <v>0</v>
      </c>
      <c r="O17" s="291">
        <v>0</v>
      </c>
      <c r="P17" s="307">
        <v>0</v>
      </c>
      <c r="Q17" s="307">
        <v>0</v>
      </c>
      <c r="R17" s="307">
        <f>SUMIFS(OB_Act[Count_Exc],OB_Act[Day],'Equipment '!$A17,OB_Act[Shift],2)</f>
        <v>0</v>
      </c>
      <c r="S17" s="307">
        <f>SUMIFS(OB_Act[Count_DT],OB_Act[Day],'Equipment '!$A17,OB_Act[Shift],2)</f>
        <v>0</v>
      </c>
      <c r="T17" s="307">
        <v>0</v>
      </c>
      <c r="U17" s="307">
        <v>0</v>
      </c>
      <c r="V17" s="307">
        <v>0</v>
      </c>
      <c r="W17" s="307">
        <v>0</v>
      </c>
      <c r="X17" s="307">
        <v>0</v>
      </c>
      <c r="Y17" s="307">
        <v>0</v>
      </c>
      <c r="Z17" s="307">
        <v>0</v>
      </c>
      <c r="AA17" s="311">
        <v>6</v>
      </c>
      <c r="AD17" s="314"/>
    </row>
    <row r="18" spans="1:30" ht="13.5" customHeight="1">
      <c r="A18" s="289">
        <v>13</v>
      </c>
      <c r="B18" s="290">
        <f t="shared" si="0"/>
        <v>46094</v>
      </c>
      <c r="C18" s="291"/>
      <c r="D18" s="291"/>
      <c r="E18" s="291">
        <v>0</v>
      </c>
      <c r="F18" s="291">
        <v>0</v>
      </c>
      <c r="G18" s="291">
        <f>SUMIFS(OB_Act[Count_Exc],OB_Act[Day],'Equipment '!$A18,OB_Act[Shift],1,OB_Act[Pit],"PIT UCEX")</f>
        <v>0</v>
      </c>
      <c r="H18" s="291">
        <f>SUMIFS(OB_Act[Count_DT],OB_Act[Day],'Equipment '!$A18,OB_Act[Shift],1,OB_Act[Pit],"PIT UCEX")</f>
        <v>0</v>
      </c>
      <c r="I18" s="291">
        <v>0</v>
      </c>
      <c r="J18" s="291">
        <v>0</v>
      </c>
      <c r="K18" s="291">
        <v>0</v>
      </c>
      <c r="L18" s="291">
        <v>0</v>
      </c>
      <c r="M18" s="291">
        <v>0</v>
      </c>
      <c r="N18" s="291">
        <v>0</v>
      </c>
      <c r="O18" s="291">
        <v>0</v>
      </c>
      <c r="P18" s="307">
        <v>0</v>
      </c>
      <c r="Q18" s="307">
        <v>0</v>
      </c>
      <c r="R18" s="307">
        <f>SUMIFS(OB_Act[Count_Exc],OB_Act[Day],'Equipment '!$A18,OB_Act[Shift],2)</f>
        <v>0</v>
      </c>
      <c r="S18" s="307">
        <f>SUMIFS(OB_Act[Count_DT],OB_Act[Day],'Equipment '!$A18,OB_Act[Shift],2)</f>
        <v>0</v>
      </c>
      <c r="T18" s="307">
        <v>0</v>
      </c>
      <c r="U18" s="307">
        <v>0</v>
      </c>
      <c r="V18" s="307">
        <v>0</v>
      </c>
      <c r="W18" s="307">
        <v>0</v>
      </c>
      <c r="X18" s="307">
        <v>0</v>
      </c>
      <c r="Y18" s="307">
        <v>0</v>
      </c>
      <c r="Z18" s="307">
        <v>0</v>
      </c>
      <c r="AA18" s="311">
        <v>1</v>
      </c>
    </row>
    <row r="19" spans="1:30" ht="13.5" customHeight="1">
      <c r="A19" s="289">
        <v>14</v>
      </c>
      <c r="B19" s="290">
        <f t="shared" si="0"/>
        <v>46095</v>
      </c>
      <c r="C19" s="291"/>
      <c r="D19" s="291"/>
      <c r="E19" s="291">
        <v>0</v>
      </c>
      <c r="F19" s="291">
        <v>0</v>
      </c>
      <c r="G19" s="291">
        <f>SUMIFS(OB_Act[Count_Exc],OB_Act[Day],'Equipment '!$A19,OB_Act[Shift],1,OB_Act[Pit],"PIT UCEX")</f>
        <v>0</v>
      </c>
      <c r="H19" s="291">
        <f>SUMIFS(OB_Act[Count_DT],OB_Act[Day],'Equipment '!$A19,OB_Act[Shift],1,OB_Act[Pit],"PIT UCEX")</f>
        <v>0</v>
      </c>
      <c r="I19" s="291">
        <v>0</v>
      </c>
      <c r="J19" s="291">
        <v>0</v>
      </c>
      <c r="K19" s="291">
        <v>0</v>
      </c>
      <c r="L19" s="291">
        <v>0</v>
      </c>
      <c r="M19" s="291">
        <v>0</v>
      </c>
      <c r="N19" s="291">
        <v>0</v>
      </c>
      <c r="O19" s="291">
        <v>0</v>
      </c>
      <c r="P19" s="307">
        <v>0</v>
      </c>
      <c r="Q19" s="307">
        <v>0</v>
      </c>
      <c r="R19" s="307">
        <f>SUMIFS(OB_Act[Count_Exc],OB_Act[Day],'Equipment '!$A19,OB_Act[Shift],2)</f>
        <v>0</v>
      </c>
      <c r="S19" s="307">
        <f>SUMIFS(OB_Act[Count_DT],OB_Act[Day],'Equipment '!$A19,OB_Act[Shift],2)</f>
        <v>0</v>
      </c>
      <c r="T19" s="307">
        <v>0</v>
      </c>
      <c r="U19" s="307">
        <v>0</v>
      </c>
      <c r="V19" s="307">
        <v>0</v>
      </c>
      <c r="W19" s="307">
        <v>0</v>
      </c>
      <c r="X19" s="307">
        <v>0</v>
      </c>
      <c r="Y19" s="307">
        <v>0</v>
      </c>
      <c r="Z19" s="307">
        <v>0</v>
      </c>
      <c r="AA19" s="311">
        <v>2</v>
      </c>
    </row>
    <row r="20" spans="1:30" ht="13.5" customHeight="1">
      <c r="A20" s="289">
        <v>15</v>
      </c>
      <c r="B20" s="290">
        <f t="shared" si="0"/>
        <v>46096</v>
      </c>
      <c r="C20" s="291"/>
      <c r="D20" s="291"/>
      <c r="E20" s="291">
        <v>0</v>
      </c>
      <c r="F20" s="291">
        <v>0</v>
      </c>
      <c r="G20" s="291">
        <f>SUMIFS(OB_Act[Count_Exc],OB_Act[Day],'Equipment '!$A20,OB_Act[Shift],1,OB_Act[Pit],"PIT UCEX")</f>
        <v>0</v>
      </c>
      <c r="H20" s="291">
        <f>SUMIFS(OB_Act[Count_DT],OB_Act[Day],'Equipment '!$A20,OB_Act[Shift],1,OB_Act[Pit],"PIT UCEX")</f>
        <v>0</v>
      </c>
      <c r="I20" s="291">
        <v>0</v>
      </c>
      <c r="J20" s="291">
        <v>0</v>
      </c>
      <c r="K20" s="291">
        <v>0</v>
      </c>
      <c r="L20" s="291">
        <v>0</v>
      </c>
      <c r="M20" s="291">
        <v>0</v>
      </c>
      <c r="N20" s="291">
        <v>0</v>
      </c>
      <c r="O20" s="291">
        <v>0</v>
      </c>
      <c r="P20" s="307">
        <v>0</v>
      </c>
      <c r="Q20" s="307">
        <v>0</v>
      </c>
      <c r="R20" s="307">
        <f>SUMIFS(OB_Act[Count_Exc],OB_Act[Day],'Equipment '!$A20,OB_Act[Shift],2)</f>
        <v>0</v>
      </c>
      <c r="S20" s="307">
        <f>SUMIFS(OB_Act[Count_DT],OB_Act[Day],'Equipment '!$A20,OB_Act[Shift],2)</f>
        <v>0</v>
      </c>
      <c r="T20" s="307">
        <v>0</v>
      </c>
      <c r="U20" s="307">
        <v>0</v>
      </c>
      <c r="V20" s="307">
        <v>0</v>
      </c>
      <c r="W20" s="307">
        <v>0</v>
      </c>
      <c r="X20" s="307">
        <v>0</v>
      </c>
      <c r="Y20" s="307">
        <v>0</v>
      </c>
      <c r="Z20" s="307">
        <v>0</v>
      </c>
      <c r="AA20" s="311">
        <v>6.5</v>
      </c>
    </row>
    <row r="21" spans="1:30" ht="13.5" customHeight="1">
      <c r="A21" s="289">
        <v>16</v>
      </c>
      <c r="B21" s="290">
        <f t="shared" si="0"/>
        <v>46097</v>
      </c>
      <c r="C21" s="291"/>
      <c r="D21" s="291"/>
      <c r="E21" s="291">
        <v>0</v>
      </c>
      <c r="F21" s="291">
        <v>0</v>
      </c>
      <c r="G21" s="291">
        <f>SUMIFS(OB_Act[Count_Exc],OB_Act[Day],'Equipment '!$A21,OB_Act[Shift],1,OB_Act[Pit],"PIT UCEX")</f>
        <v>0</v>
      </c>
      <c r="H21" s="291">
        <f>SUMIFS(OB_Act[Count_DT],OB_Act[Day],'Equipment '!$A21,OB_Act[Shift],1,OB_Act[Pit],"PIT UCEX")</f>
        <v>0</v>
      </c>
      <c r="I21" s="291">
        <v>0</v>
      </c>
      <c r="J21" s="291">
        <v>0</v>
      </c>
      <c r="K21" s="291">
        <v>0</v>
      </c>
      <c r="L21" s="291">
        <v>0</v>
      </c>
      <c r="M21" s="291">
        <v>0</v>
      </c>
      <c r="N21" s="291">
        <v>0</v>
      </c>
      <c r="O21" s="291">
        <v>0</v>
      </c>
      <c r="P21" s="307">
        <v>0</v>
      </c>
      <c r="Q21" s="307">
        <v>0</v>
      </c>
      <c r="R21" s="307">
        <f>SUMIFS(OB_Act[Count_Exc],OB_Act[Day],'Equipment '!$A21,OB_Act[Shift],2)</f>
        <v>0</v>
      </c>
      <c r="S21" s="307">
        <f>SUMIFS(OB_Act[Count_DT],OB_Act[Day],'Equipment '!$A21,OB_Act[Shift],2)</f>
        <v>0</v>
      </c>
      <c r="T21" s="307">
        <v>0</v>
      </c>
      <c r="U21" s="307">
        <v>0</v>
      </c>
      <c r="V21" s="307">
        <v>0</v>
      </c>
      <c r="W21" s="307">
        <v>0</v>
      </c>
      <c r="X21" s="307">
        <v>0</v>
      </c>
      <c r="Y21" s="307">
        <v>0</v>
      </c>
      <c r="Z21" s="307">
        <v>0</v>
      </c>
      <c r="AA21" s="311">
        <v>2</v>
      </c>
    </row>
    <row r="22" spans="1:30" ht="13.5" customHeight="1">
      <c r="A22" s="289">
        <v>17</v>
      </c>
      <c r="B22" s="290">
        <f t="shared" si="0"/>
        <v>46098</v>
      </c>
      <c r="C22" s="291"/>
      <c r="D22" s="291"/>
      <c r="E22" s="291">
        <v>0</v>
      </c>
      <c r="F22" s="291">
        <v>0</v>
      </c>
      <c r="G22" s="291">
        <f>SUMIFS(OB_Act[Count_Exc],OB_Act[Day],'Equipment '!$A22,OB_Act[Shift],1,OB_Act[Pit],"PIT UCEX")</f>
        <v>0</v>
      </c>
      <c r="H22" s="291">
        <f>SUMIFS(OB_Act[Count_DT],OB_Act[Day],'Equipment '!$A22,OB_Act[Shift],1,OB_Act[Pit],"PIT UCEX")</f>
        <v>0</v>
      </c>
      <c r="I22" s="291">
        <v>0</v>
      </c>
      <c r="J22" s="291">
        <v>0</v>
      </c>
      <c r="K22" s="291">
        <v>0</v>
      </c>
      <c r="L22" s="291">
        <v>0</v>
      </c>
      <c r="M22" s="291">
        <v>0</v>
      </c>
      <c r="N22" s="291">
        <v>0</v>
      </c>
      <c r="O22" s="291">
        <v>0</v>
      </c>
      <c r="P22" s="307">
        <v>0</v>
      </c>
      <c r="Q22" s="307">
        <v>0</v>
      </c>
      <c r="R22" s="307">
        <f>SUMIFS(OB_Act[Count_Exc],OB_Act[Day],'Equipment '!$A22,OB_Act[Shift],2)</f>
        <v>0</v>
      </c>
      <c r="S22" s="307">
        <f>SUMIFS(OB_Act[Count_DT],OB_Act[Day],'Equipment '!$A22,OB_Act[Shift],2)</f>
        <v>0</v>
      </c>
      <c r="T22" s="307">
        <v>0</v>
      </c>
      <c r="U22" s="307">
        <v>0</v>
      </c>
      <c r="V22" s="307">
        <v>0</v>
      </c>
      <c r="W22" s="307">
        <v>0</v>
      </c>
      <c r="X22" s="307">
        <v>0</v>
      </c>
      <c r="Y22" s="307">
        <v>0</v>
      </c>
      <c r="Z22" s="307">
        <v>0</v>
      </c>
      <c r="AA22" s="311"/>
    </row>
    <row r="23" spans="1:30" ht="13.5" customHeight="1">
      <c r="A23" s="289">
        <v>18</v>
      </c>
      <c r="B23" s="290">
        <f t="shared" si="0"/>
        <v>46099</v>
      </c>
      <c r="C23" s="291"/>
      <c r="D23" s="291"/>
      <c r="E23" s="291">
        <v>0</v>
      </c>
      <c r="F23" s="291">
        <v>0</v>
      </c>
      <c r="G23" s="291">
        <f>SUMIFS(OB_Act[Count_Exc],OB_Act[Day],'Equipment '!$A23,OB_Act[Shift],1,OB_Act[Pit],"PIT UCEX")</f>
        <v>0</v>
      </c>
      <c r="H23" s="291">
        <f>SUMIFS(OB_Act[Count_DT],OB_Act[Day],'Equipment '!$A23,OB_Act[Shift],1,OB_Act[Pit],"PIT UCEX")</f>
        <v>0</v>
      </c>
      <c r="I23" s="291">
        <v>0</v>
      </c>
      <c r="J23" s="291">
        <v>0</v>
      </c>
      <c r="K23" s="291">
        <v>0</v>
      </c>
      <c r="L23" s="291">
        <v>0</v>
      </c>
      <c r="M23" s="291">
        <v>0</v>
      </c>
      <c r="N23" s="291">
        <v>0</v>
      </c>
      <c r="O23" s="291">
        <v>0</v>
      </c>
      <c r="P23" s="307">
        <v>0</v>
      </c>
      <c r="Q23" s="307">
        <v>0</v>
      </c>
      <c r="R23" s="307">
        <f>SUMIFS(OB_Act[Count_Exc],OB_Act[Day],'Equipment '!$A23,OB_Act[Shift],2)</f>
        <v>0</v>
      </c>
      <c r="S23" s="307">
        <f>SUMIFS(OB_Act[Count_DT],OB_Act[Day],'Equipment '!$A23,OB_Act[Shift],2)</f>
        <v>0</v>
      </c>
      <c r="T23" s="307">
        <v>0</v>
      </c>
      <c r="U23" s="307">
        <v>0</v>
      </c>
      <c r="V23" s="307">
        <v>0</v>
      </c>
      <c r="W23" s="307">
        <v>0</v>
      </c>
      <c r="X23" s="307">
        <v>0</v>
      </c>
      <c r="Y23" s="307">
        <v>0</v>
      </c>
      <c r="Z23" s="307">
        <v>0</v>
      </c>
      <c r="AA23" s="311"/>
    </row>
    <row r="24" spans="1:30" ht="13.5" customHeight="1">
      <c r="A24" s="289">
        <v>19</v>
      </c>
      <c r="B24" s="290">
        <f t="shared" si="0"/>
        <v>46100</v>
      </c>
      <c r="C24" s="291"/>
      <c r="D24" s="291"/>
      <c r="E24" s="291">
        <v>0</v>
      </c>
      <c r="F24" s="291">
        <v>0</v>
      </c>
      <c r="G24" s="291">
        <f>SUMIFS(OB_Act[Count_Exc],OB_Act[Day],'Equipment '!$A24,OB_Act[Shift],1,OB_Act[Pit],"PIT UCEX")</f>
        <v>0</v>
      </c>
      <c r="H24" s="291">
        <f>SUMIFS(OB_Act[Count_DT],OB_Act[Day],'Equipment '!$A24,OB_Act[Shift],1,OB_Act[Pit],"PIT UCEX")</f>
        <v>0</v>
      </c>
      <c r="I24" s="291">
        <v>0</v>
      </c>
      <c r="J24" s="291">
        <v>0</v>
      </c>
      <c r="K24" s="291">
        <v>0</v>
      </c>
      <c r="L24" s="291">
        <v>0</v>
      </c>
      <c r="M24" s="291">
        <v>0</v>
      </c>
      <c r="N24" s="291">
        <v>0</v>
      </c>
      <c r="O24" s="291">
        <v>0</v>
      </c>
      <c r="P24" s="307">
        <v>0</v>
      </c>
      <c r="Q24" s="307">
        <v>0</v>
      </c>
      <c r="R24" s="307">
        <f>SUMIFS(OB_Act[Count_Exc],OB_Act[Day],'Equipment '!$A24,OB_Act[Shift],2)</f>
        <v>0</v>
      </c>
      <c r="S24" s="307">
        <f>SUMIFS(OB_Act[Count_DT],OB_Act[Day],'Equipment '!$A24,OB_Act[Shift],2)</f>
        <v>0</v>
      </c>
      <c r="T24" s="307">
        <v>0</v>
      </c>
      <c r="U24" s="307">
        <v>0</v>
      </c>
      <c r="V24" s="307">
        <v>0</v>
      </c>
      <c r="W24" s="307">
        <v>0</v>
      </c>
      <c r="X24" s="307">
        <v>0</v>
      </c>
      <c r="Y24" s="307">
        <v>0</v>
      </c>
      <c r="Z24" s="307">
        <v>0</v>
      </c>
      <c r="AA24" s="311"/>
    </row>
    <row r="25" spans="1:30" ht="13.5" customHeight="1">
      <c r="A25" s="289">
        <v>20</v>
      </c>
      <c r="B25" s="290">
        <f t="shared" si="0"/>
        <v>46101</v>
      </c>
      <c r="C25" s="291"/>
      <c r="D25" s="291"/>
      <c r="E25" s="291">
        <v>0</v>
      </c>
      <c r="F25" s="291">
        <v>0</v>
      </c>
      <c r="G25" s="291">
        <f>SUMIFS(OB_Act[Count_Exc],OB_Act[Day],'Equipment '!$A25,OB_Act[Shift],1,OB_Act[Pit],"PIT UCEX")</f>
        <v>0</v>
      </c>
      <c r="H25" s="291">
        <f>SUMIFS(OB_Act[Count_DT],OB_Act[Day],'Equipment '!$A25,OB_Act[Shift],1,OB_Act[Pit],"PIT UCEX")</f>
        <v>0</v>
      </c>
      <c r="I25" s="291">
        <v>0</v>
      </c>
      <c r="J25" s="291">
        <v>0</v>
      </c>
      <c r="K25" s="291">
        <v>0</v>
      </c>
      <c r="L25" s="291">
        <v>0</v>
      </c>
      <c r="M25" s="291">
        <v>0</v>
      </c>
      <c r="N25" s="291">
        <v>0</v>
      </c>
      <c r="O25" s="291">
        <v>0</v>
      </c>
      <c r="P25" s="307">
        <v>0</v>
      </c>
      <c r="Q25" s="307">
        <v>0</v>
      </c>
      <c r="R25" s="307">
        <f>SUMIFS(OB_Act[Count_Exc],OB_Act[Day],'Equipment '!$A25,OB_Act[Shift],2)</f>
        <v>0</v>
      </c>
      <c r="S25" s="307">
        <f>SUMIFS(OB_Act[Count_DT],OB_Act[Day],'Equipment '!$A25,OB_Act[Shift],2)</f>
        <v>0</v>
      </c>
      <c r="T25" s="307">
        <v>0</v>
      </c>
      <c r="U25" s="307">
        <v>0</v>
      </c>
      <c r="V25" s="307">
        <v>0</v>
      </c>
      <c r="W25" s="307">
        <v>0</v>
      </c>
      <c r="X25" s="307">
        <v>0</v>
      </c>
      <c r="Y25" s="307">
        <v>0</v>
      </c>
      <c r="Z25" s="307">
        <v>0</v>
      </c>
      <c r="AA25" s="311"/>
    </row>
    <row r="26" spans="1:30" ht="13.5" customHeight="1">
      <c r="A26" s="289">
        <v>21</v>
      </c>
      <c r="B26" s="290">
        <f t="shared" si="0"/>
        <v>46102</v>
      </c>
      <c r="C26" s="291"/>
      <c r="D26" s="291"/>
      <c r="E26" s="291">
        <v>0</v>
      </c>
      <c r="F26" s="291">
        <v>0</v>
      </c>
      <c r="G26" s="291">
        <f>SUMIFS(OB_Act[Count_Exc],OB_Act[Day],'Equipment '!$A26,OB_Act[Shift],1,OB_Act[Pit],"PIT UCEX")</f>
        <v>0</v>
      </c>
      <c r="H26" s="291">
        <f>SUMIFS(OB_Act[Count_DT],OB_Act[Day],'Equipment '!$A26,OB_Act[Shift],1,OB_Act[Pit],"PIT UCEX")</f>
        <v>0</v>
      </c>
      <c r="I26" s="291">
        <v>0</v>
      </c>
      <c r="J26" s="291">
        <v>0</v>
      </c>
      <c r="K26" s="291">
        <v>0</v>
      </c>
      <c r="L26" s="291">
        <v>0</v>
      </c>
      <c r="M26" s="291">
        <v>0</v>
      </c>
      <c r="N26" s="291">
        <v>0</v>
      </c>
      <c r="O26" s="291">
        <v>0</v>
      </c>
      <c r="P26" s="307">
        <v>0</v>
      </c>
      <c r="Q26" s="307">
        <v>0</v>
      </c>
      <c r="R26" s="307">
        <f>SUMIFS(OB_Act[Count_Exc],OB_Act[Day],'Equipment '!$A26,OB_Act[Shift],2)</f>
        <v>0</v>
      </c>
      <c r="S26" s="307">
        <f>SUMIFS(OB_Act[Count_DT],OB_Act[Day],'Equipment '!$A26,OB_Act[Shift],2)</f>
        <v>0</v>
      </c>
      <c r="T26" s="307">
        <v>0</v>
      </c>
      <c r="U26" s="307">
        <v>0</v>
      </c>
      <c r="V26" s="307">
        <v>0</v>
      </c>
      <c r="W26" s="307">
        <v>0</v>
      </c>
      <c r="X26" s="307">
        <v>0</v>
      </c>
      <c r="Y26" s="307">
        <v>0</v>
      </c>
      <c r="Z26" s="307">
        <v>0</v>
      </c>
      <c r="AA26" s="311"/>
    </row>
    <row r="27" spans="1:30" ht="13.5" customHeight="1">
      <c r="A27" s="289">
        <v>22</v>
      </c>
      <c r="B27" s="290">
        <f t="shared" si="0"/>
        <v>46103</v>
      </c>
      <c r="C27" s="291"/>
      <c r="D27" s="291"/>
      <c r="E27" s="291">
        <v>0</v>
      </c>
      <c r="F27" s="291">
        <v>0</v>
      </c>
      <c r="G27" s="291">
        <f>SUMIFS(OB_Act[Count_Exc],OB_Act[Day],'Equipment '!$A27,OB_Act[Shift],1,OB_Act[Pit],"PIT UCEX")</f>
        <v>0</v>
      </c>
      <c r="H27" s="291">
        <f>SUMIFS(OB_Act[Count_DT],OB_Act[Day],'Equipment '!$A27,OB_Act[Shift],1,OB_Act[Pit],"PIT UCEX")</f>
        <v>0</v>
      </c>
      <c r="I27" s="291">
        <v>0</v>
      </c>
      <c r="J27" s="291">
        <v>0</v>
      </c>
      <c r="K27" s="291">
        <v>0</v>
      </c>
      <c r="L27" s="291">
        <v>0</v>
      </c>
      <c r="M27" s="291">
        <v>0</v>
      </c>
      <c r="N27" s="291">
        <v>0</v>
      </c>
      <c r="O27" s="291">
        <v>0</v>
      </c>
      <c r="P27" s="307">
        <v>0</v>
      </c>
      <c r="Q27" s="307">
        <v>0</v>
      </c>
      <c r="R27" s="307">
        <f>SUMIFS(OB_Act[Count_Exc],OB_Act[Day],'Equipment '!$A27,OB_Act[Shift],2)</f>
        <v>0</v>
      </c>
      <c r="S27" s="307">
        <f>SUMIFS(OB_Act[Count_DT],OB_Act[Day],'Equipment '!$A27,OB_Act[Shift],2)</f>
        <v>0</v>
      </c>
      <c r="T27" s="307">
        <v>0</v>
      </c>
      <c r="U27" s="307">
        <v>0</v>
      </c>
      <c r="V27" s="307">
        <v>0</v>
      </c>
      <c r="W27" s="307">
        <v>0</v>
      </c>
      <c r="X27" s="307">
        <v>0</v>
      </c>
      <c r="Y27" s="307">
        <v>0</v>
      </c>
      <c r="Z27" s="307">
        <v>0</v>
      </c>
      <c r="AA27" s="311">
        <v>2</v>
      </c>
    </row>
    <row r="28" spans="1:30" ht="13.5" customHeight="1">
      <c r="A28" s="289">
        <v>23</v>
      </c>
      <c r="B28" s="290">
        <f t="shared" si="0"/>
        <v>46104</v>
      </c>
      <c r="C28" s="291"/>
      <c r="D28" s="291"/>
      <c r="E28" s="291">
        <v>0</v>
      </c>
      <c r="F28" s="291">
        <v>0</v>
      </c>
      <c r="G28" s="291">
        <f>SUMIFS(OB_Act[Count_Exc],OB_Act[Day],'Equipment '!$A28,OB_Act[Shift],1,OB_Act[Pit],"PIT UCEX")</f>
        <v>0</v>
      </c>
      <c r="H28" s="291">
        <f>SUMIFS(OB_Act[Count_DT],OB_Act[Day],'Equipment '!$A28,OB_Act[Shift],1,OB_Act[Pit],"PIT UCEX")</f>
        <v>0</v>
      </c>
      <c r="I28" s="291">
        <v>0</v>
      </c>
      <c r="J28" s="291">
        <v>0</v>
      </c>
      <c r="K28" s="291">
        <v>0</v>
      </c>
      <c r="L28" s="291">
        <v>0</v>
      </c>
      <c r="M28" s="291">
        <v>0</v>
      </c>
      <c r="N28" s="291">
        <v>0</v>
      </c>
      <c r="O28" s="291">
        <v>0</v>
      </c>
      <c r="P28" s="307">
        <v>0</v>
      </c>
      <c r="Q28" s="307">
        <v>0</v>
      </c>
      <c r="R28" s="307">
        <f>SUMIFS(OB_Act[Count_Exc],OB_Act[Day],'Equipment '!$A28,OB_Act[Shift],2)</f>
        <v>0</v>
      </c>
      <c r="S28" s="307">
        <f>SUMIFS(OB_Act[Count_DT],OB_Act[Day],'Equipment '!$A28,OB_Act[Shift],2)</f>
        <v>0</v>
      </c>
      <c r="T28" s="307">
        <v>0</v>
      </c>
      <c r="U28" s="307">
        <v>0</v>
      </c>
      <c r="V28" s="307">
        <v>0</v>
      </c>
      <c r="W28" s="307">
        <v>0</v>
      </c>
      <c r="X28" s="307">
        <v>0</v>
      </c>
      <c r="Y28" s="307">
        <v>0</v>
      </c>
      <c r="Z28" s="307">
        <v>0</v>
      </c>
      <c r="AA28" s="311">
        <v>2</v>
      </c>
    </row>
    <row r="29" spans="1:30" ht="13.5" customHeight="1">
      <c r="A29" s="289">
        <v>24</v>
      </c>
      <c r="B29" s="290">
        <f t="shared" si="0"/>
        <v>46105</v>
      </c>
      <c r="C29" s="291"/>
      <c r="D29" s="291"/>
      <c r="E29" s="291">
        <v>0</v>
      </c>
      <c r="F29" s="291">
        <v>0</v>
      </c>
      <c r="G29" s="291">
        <f>SUMIFS(OB_Act[Count_Exc],OB_Act[Day],'Equipment '!$A29,OB_Act[Shift],1,OB_Act[Pit],"PIT UCEX")</f>
        <v>0</v>
      </c>
      <c r="H29" s="291">
        <f>SUMIFS(OB_Act[Count_DT],OB_Act[Day],'Equipment '!$A29,OB_Act[Shift],1,OB_Act[Pit],"PIT UCEX")</f>
        <v>0</v>
      </c>
      <c r="I29" s="291">
        <v>0</v>
      </c>
      <c r="J29" s="291">
        <v>0</v>
      </c>
      <c r="K29" s="291">
        <v>0</v>
      </c>
      <c r="L29" s="291">
        <v>0</v>
      </c>
      <c r="M29" s="291">
        <v>0</v>
      </c>
      <c r="N29" s="291">
        <v>0</v>
      </c>
      <c r="O29" s="291">
        <v>0</v>
      </c>
      <c r="P29" s="307">
        <v>0</v>
      </c>
      <c r="Q29" s="307">
        <v>0</v>
      </c>
      <c r="R29" s="307">
        <f>SUMIFS(OB_Act[Count_Exc],OB_Act[Day],'Equipment '!$A29,OB_Act[Shift],2)</f>
        <v>0</v>
      </c>
      <c r="S29" s="307">
        <f>SUMIFS(OB_Act[Count_DT],OB_Act[Day],'Equipment '!$A29,OB_Act[Shift],2)</f>
        <v>0</v>
      </c>
      <c r="T29" s="307">
        <v>0</v>
      </c>
      <c r="U29" s="307">
        <v>0</v>
      </c>
      <c r="V29" s="307">
        <v>0</v>
      </c>
      <c r="W29" s="307">
        <v>0</v>
      </c>
      <c r="X29" s="307">
        <v>0</v>
      </c>
      <c r="Y29" s="307">
        <v>0</v>
      </c>
      <c r="Z29" s="307">
        <v>0</v>
      </c>
      <c r="AA29" s="311">
        <v>2</v>
      </c>
    </row>
    <row r="30" spans="1:30" ht="13.5" customHeight="1">
      <c r="A30" s="289">
        <v>25</v>
      </c>
      <c r="B30" s="290">
        <f t="shared" si="0"/>
        <v>46106</v>
      </c>
      <c r="C30" s="291"/>
      <c r="D30" s="291"/>
      <c r="E30" s="291">
        <v>0</v>
      </c>
      <c r="F30" s="291">
        <v>0</v>
      </c>
      <c r="G30" s="291">
        <f>SUMIFS(OB_Act[Count_Exc],OB_Act[Day],'Equipment '!$A30,OB_Act[Shift],1,OB_Act[Pit],"PIT UCEX")</f>
        <v>0</v>
      </c>
      <c r="H30" s="291">
        <f>SUMIFS(OB_Act[Count_DT],OB_Act[Day],'Equipment '!$A30,OB_Act[Shift],1,OB_Act[Pit],"PIT UCEX")</f>
        <v>0</v>
      </c>
      <c r="I30" s="291">
        <v>0</v>
      </c>
      <c r="J30" s="291">
        <v>0</v>
      </c>
      <c r="K30" s="291">
        <v>0</v>
      </c>
      <c r="L30" s="291">
        <v>0</v>
      </c>
      <c r="M30" s="291">
        <v>0</v>
      </c>
      <c r="N30" s="291">
        <v>0</v>
      </c>
      <c r="O30" s="291">
        <v>0</v>
      </c>
      <c r="P30" s="307">
        <v>0</v>
      </c>
      <c r="Q30" s="307">
        <v>0</v>
      </c>
      <c r="R30" s="307">
        <f>SUMIFS(OB_Act[Count_Exc],OB_Act[Day],'Equipment '!$A30,OB_Act[Shift],2)</f>
        <v>0</v>
      </c>
      <c r="S30" s="307">
        <f>SUMIFS(OB_Act[Count_DT],OB_Act[Day],'Equipment '!$A30,OB_Act[Shift],2)</f>
        <v>0</v>
      </c>
      <c r="T30" s="307">
        <v>0</v>
      </c>
      <c r="U30" s="307">
        <v>0</v>
      </c>
      <c r="V30" s="307">
        <v>0</v>
      </c>
      <c r="W30" s="307">
        <v>0</v>
      </c>
      <c r="X30" s="307">
        <v>0</v>
      </c>
      <c r="Y30" s="307">
        <v>0</v>
      </c>
      <c r="Z30" s="307">
        <v>0</v>
      </c>
      <c r="AA30" s="311"/>
    </row>
    <row r="31" spans="1:30" ht="13.5" customHeight="1">
      <c r="A31" s="289">
        <v>26</v>
      </c>
      <c r="B31" s="290">
        <f t="shared" si="0"/>
        <v>46107</v>
      </c>
      <c r="C31" s="291"/>
      <c r="D31" s="291"/>
      <c r="E31" s="291">
        <v>0</v>
      </c>
      <c r="F31" s="291">
        <v>0</v>
      </c>
      <c r="G31" s="291">
        <f>SUMIFS(OB_Act[Count_Exc],OB_Act[Day],'Equipment '!$A31,OB_Act[Shift],1,OB_Act[Pit],"PIT UCEX")</f>
        <v>0</v>
      </c>
      <c r="H31" s="291">
        <f>SUMIFS(OB_Act[Count_DT],OB_Act[Day],'Equipment '!$A31,OB_Act[Shift],1,OB_Act[Pit],"PIT UCEX")</f>
        <v>0</v>
      </c>
      <c r="I31" s="291">
        <v>0</v>
      </c>
      <c r="J31" s="291">
        <v>0</v>
      </c>
      <c r="K31" s="291">
        <v>0</v>
      </c>
      <c r="L31" s="291">
        <v>0</v>
      </c>
      <c r="M31" s="291">
        <v>0</v>
      </c>
      <c r="N31" s="291">
        <v>0</v>
      </c>
      <c r="O31" s="291">
        <v>0</v>
      </c>
      <c r="P31" s="307">
        <v>0</v>
      </c>
      <c r="Q31" s="307">
        <v>0</v>
      </c>
      <c r="R31" s="307">
        <f>SUMIFS(OB_Act[Count_Exc],OB_Act[Day],'Equipment '!$A31,OB_Act[Shift],2)</f>
        <v>0</v>
      </c>
      <c r="S31" s="307">
        <f>SUMIFS(OB_Act[Count_DT],OB_Act[Day],'Equipment '!$A31,OB_Act[Shift],2)</f>
        <v>0</v>
      </c>
      <c r="T31" s="307">
        <v>0</v>
      </c>
      <c r="U31" s="307">
        <v>0</v>
      </c>
      <c r="V31" s="307">
        <v>0</v>
      </c>
      <c r="W31" s="307">
        <v>0</v>
      </c>
      <c r="X31" s="307">
        <v>0</v>
      </c>
      <c r="Y31" s="307">
        <v>0</v>
      </c>
      <c r="Z31" s="307">
        <v>0</v>
      </c>
      <c r="AA31" s="311"/>
    </row>
    <row r="32" spans="1:30" ht="13.5" customHeight="1">
      <c r="A32" s="289">
        <v>27</v>
      </c>
      <c r="B32" s="290">
        <f t="shared" si="0"/>
        <v>46108</v>
      </c>
      <c r="C32" s="291"/>
      <c r="D32" s="291"/>
      <c r="E32" s="291">
        <v>0</v>
      </c>
      <c r="F32" s="291">
        <v>0</v>
      </c>
      <c r="G32" s="291">
        <f>SUMIFS(OB_Act[Count_Exc],OB_Act[Day],'Equipment '!$A32,OB_Act[Shift],1,OB_Act[Pit],"PIT UCEX")</f>
        <v>0</v>
      </c>
      <c r="H32" s="291">
        <f>SUMIFS(OB_Act[Count_DT],OB_Act[Day],'Equipment '!$A32,OB_Act[Shift],1,OB_Act[Pit],"PIT UCEX")</f>
        <v>0</v>
      </c>
      <c r="I32" s="291">
        <v>0</v>
      </c>
      <c r="J32" s="291">
        <v>0</v>
      </c>
      <c r="K32" s="291">
        <v>0</v>
      </c>
      <c r="L32" s="291">
        <v>0</v>
      </c>
      <c r="M32" s="291">
        <v>0</v>
      </c>
      <c r="N32" s="291">
        <v>0</v>
      </c>
      <c r="O32" s="291">
        <v>0</v>
      </c>
      <c r="P32" s="307">
        <v>0</v>
      </c>
      <c r="Q32" s="307">
        <v>0</v>
      </c>
      <c r="R32" s="307">
        <f>SUMIFS(OB_Act[Count_Exc],OB_Act[Day],'Equipment '!$A32,OB_Act[Shift],2)</f>
        <v>0</v>
      </c>
      <c r="S32" s="307">
        <f>SUMIFS(OB_Act[Count_DT],OB_Act[Day],'Equipment '!$A32,OB_Act[Shift],2)</f>
        <v>0</v>
      </c>
      <c r="T32" s="307">
        <v>0</v>
      </c>
      <c r="U32" s="307">
        <v>0</v>
      </c>
      <c r="V32" s="307">
        <v>0</v>
      </c>
      <c r="W32" s="307">
        <v>0</v>
      </c>
      <c r="X32" s="307">
        <v>0</v>
      </c>
      <c r="Y32" s="307">
        <v>0</v>
      </c>
      <c r="Z32" s="307">
        <v>0</v>
      </c>
      <c r="AA32" s="311">
        <v>2</v>
      </c>
    </row>
    <row r="33" spans="1:29" ht="13.5" customHeight="1">
      <c r="A33" s="289">
        <v>28</v>
      </c>
      <c r="B33" s="290">
        <f t="shared" si="0"/>
        <v>46109</v>
      </c>
      <c r="C33" s="291"/>
      <c r="D33" s="291"/>
      <c r="E33" s="291">
        <v>0</v>
      </c>
      <c r="F33" s="291">
        <v>0</v>
      </c>
      <c r="G33" s="291">
        <f>SUMIFS(OB_Act[Count_Exc],OB_Act[Day],'Equipment '!$A33,OB_Act[Shift],1,OB_Act[Pit],"PIT UCEX")</f>
        <v>0</v>
      </c>
      <c r="H33" s="291">
        <f>SUMIFS(OB_Act[Count_DT],OB_Act[Day],'Equipment '!$A33,OB_Act[Shift],1,OB_Act[Pit],"PIT UCEX")</f>
        <v>0</v>
      </c>
      <c r="I33" s="291">
        <v>0</v>
      </c>
      <c r="J33" s="291">
        <v>0</v>
      </c>
      <c r="K33" s="291">
        <v>0</v>
      </c>
      <c r="L33" s="291">
        <v>0</v>
      </c>
      <c r="M33" s="291">
        <v>0</v>
      </c>
      <c r="N33" s="291">
        <v>0</v>
      </c>
      <c r="O33" s="291">
        <v>0</v>
      </c>
      <c r="P33" s="307">
        <v>0</v>
      </c>
      <c r="Q33" s="307">
        <v>0</v>
      </c>
      <c r="R33" s="307">
        <f>SUMIFS(OB_Act[Count_Exc],OB_Act[Day],'Equipment '!$A33,OB_Act[Shift],2)</f>
        <v>0</v>
      </c>
      <c r="S33" s="307">
        <f>SUMIFS(OB_Act[Count_DT],OB_Act[Day],'Equipment '!$A33,OB_Act[Shift],2)</f>
        <v>0</v>
      </c>
      <c r="T33" s="307">
        <v>0</v>
      </c>
      <c r="U33" s="307">
        <v>0</v>
      </c>
      <c r="V33" s="307">
        <v>0</v>
      </c>
      <c r="W33" s="307">
        <v>0</v>
      </c>
      <c r="X33" s="307">
        <v>0</v>
      </c>
      <c r="Y33" s="307">
        <v>0</v>
      </c>
      <c r="Z33" s="307">
        <v>0</v>
      </c>
      <c r="AA33" s="311">
        <v>2</v>
      </c>
    </row>
    <row r="34" spans="1:29" ht="13.5" customHeight="1">
      <c r="A34" s="289">
        <v>29</v>
      </c>
      <c r="B34" s="290">
        <f t="shared" si="0"/>
        <v>46110</v>
      </c>
      <c r="C34" s="291"/>
      <c r="D34" s="291"/>
      <c r="E34" s="291">
        <v>0</v>
      </c>
      <c r="F34" s="291">
        <v>0</v>
      </c>
      <c r="G34" s="291">
        <f>SUMIFS(OB_Act[Count_Exc],OB_Act[Day],'Equipment '!$A34,OB_Act[Shift],1,OB_Act[Pit],"PIT UCEX")</f>
        <v>0</v>
      </c>
      <c r="H34" s="291">
        <f>SUMIFS(OB_Act[Count_DT],OB_Act[Day],'Equipment '!$A34,OB_Act[Shift],1,OB_Act[Pit],"PIT UCEX")</f>
        <v>0</v>
      </c>
      <c r="I34" s="291">
        <v>0</v>
      </c>
      <c r="J34" s="291">
        <v>0</v>
      </c>
      <c r="K34" s="291">
        <v>0</v>
      </c>
      <c r="L34" s="291">
        <v>0</v>
      </c>
      <c r="M34" s="291">
        <v>0</v>
      </c>
      <c r="N34" s="291">
        <v>0</v>
      </c>
      <c r="O34" s="291">
        <v>0</v>
      </c>
      <c r="P34" s="307">
        <v>0</v>
      </c>
      <c r="Q34" s="307">
        <v>0</v>
      </c>
      <c r="R34" s="307">
        <f>SUMIFS(OB_Act[Count_Exc],OB_Act[Day],'Equipment '!$A34,OB_Act[Shift],2)</f>
        <v>0</v>
      </c>
      <c r="S34" s="307">
        <f>SUMIFS(OB_Act[Count_DT],OB_Act[Day],'Equipment '!$A34,OB_Act[Shift],2)</f>
        <v>0</v>
      </c>
      <c r="T34" s="307">
        <v>0</v>
      </c>
      <c r="U34" s="307">
        <v>0</v>
      </c>
      <c r="V34" s="307">
        <v>0</v>
      </c>
      <c r="W34" s="307">
        <v>0</v>
      </c>
      <c r="X34" s="307">
        <v>0</v>
      </c>
      <c r="Y34" s="307">
        <v>0</v>
      </c>
      <c r="Z34" s="307">
        <v>0</v>
      </c>
      <c r="AA34" s="311">
        <v>3</v>
      </c>
    </row>
    <row r="35" spans="1:29" ht="13.5" customHeight="1">
      <c r="A35" s="289">
        <v>30</v>
      </c>
      <c r="B35" s="290">
        <f t="shared" si="0"/>
        <v>46111</v>
      </c>
      <c r="C35" s="291"/>
      <c r="D35" s="291"/>
      <c r="E35" s="291">
        <v>0</v>
      </c>
      <c r="F35" s="291">
        <v>0</v>
      </c>
      <c r="G35" s="291">
        <f>SUMIFS(OB_Act[Count_Exc],OB_Act[Day],'Equipment '!$A35,OB_Act[Shift],1,OB_Act[Pit],"PIT UCEX")</f>
        <v>0</v>
      </c>
      <c r="H35" s="291">
        <f>SUMIFS(OB_Act[Count_DT],OB_Act[Day],'Equipment '!$A35,OB_Act[Shift],1,OB_Act[Pit],"PIT UCEX")</f>
        <v>0</v>
      </c>
      <c r="I35" s="291">
        <v>0</v>
      </c>
      <c r="J35" s="291">
        <v>0</v>
      </c>
      <c r="K35" s="291">
        <v>0</v>
      </c>
      <c r="L35" s="291">
        <v>0</v>
      </c>
      <c r="M35" s="291">
        <v>0</v>
      </c>
      <c r="N35" s="291">
        <v>0</v>
      </c>
      <c r="O35" s="291">
        <v>0</v>
      </c>
      <c r="P35" s="307">
        <v>0</v>
      </c>
      <c r="Q35" s="307">
        <v>0</v>
      </c>
      <c r="R35" s="307">
        <f>SUMIFS(OB_Act[Count_Exc],OB_Act[Day],'Equipment '!$A35,OB_Act[Shift],2)</f>
        <v>0</v>
      </c>
      <c r="S35" s="307">
        <f>SUMIFS(OB_Act[Count_DT],OB_Act[Day],'Equipment '!$A35,OB_Act[Shift],2)</f>
        <v>0</v>
      </c>
      <c r="T35" s="307">
        <v>0</v>
      </c>
      <c r="U35" s="307">
        <v>0</v>
      </c>
      <c r="V35" s="307">
        <v>0</v>
      </c>
      <c r="W35" s="307">
        <v>0</v>
      </c>
      <c r="X35" s="307">
        <v>0</v>
      </c>
      <c r="Y35" s="307">
        <v>0</v>
      </c>
      <c r="Z35" s="307">
        <v>0</v>
      </c>
      <c r="AA35" s="311">
        <v>1</v>
      </c>
    </row>
    <row r="36" spans="1:29" ht="13.5" customHeight="1">
      <c r="A36" s="289">
        <v>31</v>
      </c>
      <c r="B36" s="290">
        <f t="shared" si="0"/>
        <v>46112</v>
      </c>
      <c r="C36" s="291"/>
      <c r="D36" s="291"/>
      <c r="E36" s="291">
        <v>0</v>
      </c>
      <c r="F36" s="291">
        <v>0</v>
      </c>
      <c r="G36" s="291">
        <f>SUMIFS(OB_Act[Count_Exc],OB_Act[Day],'Equipment '!$A36,OB_Act[Shift],1,OB_Act[Pit],"PIT UCEX")</f>
        <v>0</v>
      </c>
      <c r="H36" s="291">
        <f>SUMIFS(OB_Act[Count_DT],OB_Act[Day],'Equipment '!$A36,OB_Act[Shift],1,OB_Act[Pit],"PIT UCEX")</f>
        <v>0</v>
      </c>
      <c r="I36" s="291">
        <v>0</v>
      </c>
      <c r="J36" s="291">
        <v>0</v>
      </c>
      <c r="K36" s="291">
        <v>0</v>
      </c>
      <c r="L36" s="291">
        <v>0</v>
      </c>
      <c r="M36" s="291">
        <v>0</v>
      </c>
      <c r="N36" s="291">
        <v>0</v>
      </c>
      <c r="O36" s="291">
        <v>0</v>
      </c>
      <c r="P36" s="307">
        <v>0</v>
      </c>
      <c r="Q36" s="307">
        <v>0</v>
      </c>
      <c r="R36" s="307">
        <f>SUMIFS(OB_Act[Count_Exc],OB_Act[Day],'Equipment '!$A36,OB_Act[Shift],2)</f>
        <v>0</v>
      </c>
      <c r="S36" s="307">
        <f>SUMIFS(OB_Act[Count_DT],OB_Act[Day],'Equipment '!$A36,OB_Act[Shift],2)</f>
        <v>0</v>
      </c>
      <c r="T36" s="307">
        <v>0</v>
      </c>
      <c r="U36" s="307">
        <v>0</v>
      </c>
      <c r="V36" s="307">
        <v>0</v>
      </c>
      <c r="W36" s="307">
        <v>0</v>
      </c>
      <c r="X36" s="307">
        <v>0</v>
      </c>
      <c r="Y36" s="307">
        <v>0</v>
      </c>
      <c r="Z36" s="307">
        <v>0</v>
      </c>
      <c r="AA36" s="311">
        <v>0</v>
      </c>
    </row>
    <row r="37" spans="1:29" ht="15" customHeight="1">
      <c r="B37" s="290"/>
      <c r="C37" s="292" t="e">
        <f t="shared" ref="C37:Z37" si="1">SUM(C6:C36)/C39</f>
        <v>#DIV/0!</v>
      </c>
      <c r="D37" s="292" t="e">
        <f t="shared" si="1"/>
        <v>#DIV/0!</v>
      </c>
      <c r="E37" s="292" t="e">
        <f t="shared" si="1"/>
        <v>#DIV/0!</v>
      </c>
      <c r="F37" s="292" t="e">
        <f t="shared" si="1"/>
        <v>#DIV/0!</v>
      </c>
      <c r="G37" s="292" t="e">
        <f t="shared" si="1"/>
        <v>#DIV/0!</v>
      </c>
      <c r="H37" s="292" t="e">
        <f t="shared" si="1"/>
        <v>#DIV/0!</v>
      </c>
      <c r="I37" s="292" t="e">
        <f t="shared" si="1"/>
        <v>#DIV/0!</v>
      </c>
      <c r="J37" s="292" t="e">
        <f t="shared" si="1"/>
        <v>#DIV/0!</v>
      </c>
      <c r="K37" s="292" t="e">
        <f t="shared" si="1"/>
        <v>#DIV/0!</v>
      </c>
      <c r="L37" s="292" t="e">
        <f t="shared" si="1"/>
        <v>#DIV/0!</v>
      </c>
      <c r="M37" s="292" t="e">
        <f t="shared" si="1"/>
        <v>#DIV/0!</v>
      </c>
      <c r="N37" s="292" t="e">
        <f t="shared" si="1"/>
        <v>#DIV/0!</v>
      </c>
      <c r="O37" s="292" t="e">
        <f t="shared" si="1"/>
        <v>#DIV/0!</v>
      </c>
      <c r="P37" s="292" t="e">
        <f t="shared" si="1"/>
        <v>#DIV/0!</v>
      </c>
      <c r="Q37" s="292" t="e">
        <f t="shared" si="1"/>
        <v>#DIV/0!</v>
      </c>
      <c r="R37" s="292" t="e">
        <f t="shared" si="1"/>
        <v>#DIV/0!</v>
      </c>
      <c r="S37" s="292" t="e">
        <f t="shared" si="1"/>
        <v>#DIV/0!</v>
      </c>
      <c r="T37" s="292" t="e">
        <f t="shared" si="1"/>
        <v>#DIV/0!</v>
      </c>
      <c r="U37" s="292" t="e">
        <f t="shared" si="1"/>
        <v>#DIV/0!</v>
      </c>
      <c r="V37" s="292" t="e">
        <f t="shared" si="1"/>
        <v>#DIV/0!</v>
      </c>
      <c r="W37" s="292" t="e">
        <f t="shared" si="1"/>
        <v>#DIV/0!</v>
      </c>
      <c r="X37" s="292" t="e">
        <f t="shared" si="1"/>
        <v>#DIV/0!</v>
      </c>
      <c r="Y37" s="292" t="e">
        <f t="shared" si="1"/>
        <v>#DIV/0!</v>
      </c>
      <c r="Z37" s="292" t="e">
        <f t="shared" si="1"/>
        <v>#DIV/0!</v>
      </c>
      <c r="AA37" s="311"/>
    </row>
    <row r="38" spans="1:29" ht="13.8">
      <c r="B38" s="290"/>
      <c r="E38" s="293">
        <v>2</v>
      </c>
      <c r="F38" s="293">
        <v>6</v>
      </c>
      <c r="G38" s="293">
        <v>0</v>
      </c>
      <c r="H38" s="293">
        <v>0</v>
      </c>
      <c r="I38" s="293">
        <v>-2</v>
      </c>
      <c r="J38" s="293">
        <v>-1</v>
      </c>
      <c r="K38" s="293">
        <v>0</v>
      </c>
      <c r="L38" s="293">
        <v>0</v>
      </c>
      <c r="M38" s="293">
        <v>0</v>
      </c>
      <c r="N38" s="293">
        <v>0</v>
      </c>
      <c r="O38" s="293">
        <v>0</v>
      </c>
      <c r="P38" s="293">
        <v>0</v>
      </c>
      <c r="Q38" s="293">
        <v>0</v>
      </c>
      <c r="R38" s="293">
        <v>0</v>
      </c>
      <c r="S38" s="293">
        <v>0</v>
      </c>
      <c r="T38" s="293">
        <v>0</v>
      </c>
      <c r="U38" s="293">
        <v>0</v>
      </c>
      <c r="V38" s="293">
        <v>0</v>
      </c>
      <c r="W38" s="293">
        <v>0</v>
      </c>
      <c r="X38" s="293">
        <v>0</v>
      </c>
      <c r="Y38" s="293">
        <v>0</v>
      </c>
      <c r="Z38" s="293">
        <v>0</v>
      </c>
    </row>
    <row r="39" spans="1:29">
      <c r="B39" s="294"/>
      <c r="C39" s="295">
        <f t="shared" ref="C39:Z39" si="2">COUNTIF(C6:C36,"&gt;0")</f>
        <v>0</v>
      </c>
      <c r="D39" s="295">
        <f t="shared" si="2"/>
        <v>0</v>
      </c>
      <c r="E39" s="295">
        <f t="shared" si="2"/>
        <v>0</v>
      </c>
      <c r="F39" s="295">
        <f t="shared" si="2"/>
        <v>0</v>
      </c>
      <c r="G39" s="296">
        <f>AVERAGE(E33,P33)</f>
        <v>0</v>
      </c>
      <c r="H39" s="296">
        <f>E34</f>
        <v>0</v>
      </c>
      <c r="I39" s="295">
        <f t="shared" si="2"/>
        <v>0</v>
      </c>
      <c r="J39" s="295">
        <f t="shared" si="2"/>
        <v>0</v>
      </c>
      <c r="K39" s="295">
        <f t="shared" si="2"/>
        <v>0</v>
      </c>
      <c r="L39" s="295">
        <f t="shared" si="2"/>
        <v>0</v>
      </c>
      <c r="M39" s="295">
        <f t="shared" si="2"/>
        <v>0</v>
      </c>
      <c r="N39" s="295">
        <f t="shared" si="2"/>
        <v>0</v>
      </c>
      <c r="O39" s="295">
        <f t="shared" si="2"/>
        <v>0</v>
      </c>
      <c r="P39" s="295">
        <f t="shared" si="2"/>
        <v>0</v>
      </c>
      <c r="Q39" s="295">
        <f t="shared" si="2"/>
        <v>0</v>
      </c>
      <c r="R39" s="295">
        <f t="shared" si="2"/>
        <v>0</v>
      </c>
      <c r="S39" s="295">
        <f t="shared" si="2"/>
        <v>0</v>
      </c>
      <c r="T39" s="295">
        <f t="shared" si="2"/>
        <v>0</v>
      </c>
      <c r="U39" s="295">
        <f t="shared" si="2"/>
        <v>0</v>
      </c>
      <c r="V39" s="295">
        <f t="shared" si="2"/>
        <v>0</v>
      </c>
      <c r="W39" s="295">
        <f t="shared" si="2"/>
        <v>0</v>
      </c>
      <c r="X39" s="295">
        <f t="shared" si="2"/>
        <v>0</v>
      </c>
      <c r="Y39" s="295">
        <f t="shared" si="2"/>
        <v>0</v>
      </c>
      <c r="Z39" s="295">
        <f t="shared" si="2"/>
        <v>0</v>
      </c>
      <c r="AA39" s="305"/>
    </row>
    <row r="40" spans="1:29">
      <c r="B40" s="297"/>
      <c r="C40" s="298">
        <v>1</v>
      </c>
      <c r="D40" s="298">
        <v>1</v>
      </c>
      <c r="E40" s="298"/>
      <c r="F40" s="298">
        <v>1</v>
      </c>
      <c r="G40" s="296">
        <f>AVERAGE(E34,P34)</f>
        <v>0</v>
      </c>
      <c r="H40" s="296">
        <f>E35</f>
        <v>0</v>
      </c>
      <c r="I40" s="298">
        <v>1</v>
      </c>
      <c r="J40" s="298">
        <v>1</v>
      </c>
      <c r="K40" s="298">
        <v>1</v>
      </c>
      <c r="L40" s="308">
        <v>1</v>
      </c>
      <c r="M40" s="309">
        <v>1</v>
      </c>
      <c r="N40" s="309">
        <v>1</v>
      </c>
      <c r="O40" s="309">
        <v>1</v>
      </c>
      <c r="P40" s="309">
        <v>1</v>
      </c>
      <c r="Q40" s="309">
        <v>1</v>
      </c>
      <c r="R40" s="309">
        <v>1</v>
      </c>
      <c r="S40" s="309">
        <v>1</v>
      </c>
      <c r="T40" s="309">
        <v>1</v>
      </c>
      <c r="U40" s="309">
        <v>1</v>
      </c>
      <c r="V40" s="309">
        <v>1</v>
      </c>
      <c r="W40" s="309">
        <v>1</v>
      </c>
      <c r="X40" s="309">
        <v>1</v>
      </c>
      <c r="Y40" s="309">
        <v>1</v>
      </c>
      <c r="Z40" s="309">
        <v>1</v>
      </c>
      <c r="AA40" s="305"/>
    </row>
    <row r="41" spans="1:29">
      <c r="B41" s="299"/>
      <c r="C41" s="300"/>
      <c r="D41" s="300"/>
      <c r="E41" s="300"/>
      <c r="F41" s="300"/>
      <c r="G41" s="296">
        <f>AVERAGE(E35,P35)</f>
        <v>0</v>
      </c>
      <c r="H41" s="296">
        <f>E36</f>
        <v>0</v>
      </c>
      <c r="I41" s="300" t="s">
        <v>279</v>
      </c>
      <c r="J41" s="300" t="s">
        <v>280</v>
      </c>
      <c r="K41" s="300"/>
      <c r="L41" s="310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305"/>
      <c r="AC41" s="315"/>
    </row>
    <row r="42" spans="1:29">
      <c r="B42" s="299"/>
      <c r="C42" s="300"/>
      <c r="D42" s="300"/>
      <c r="E42" s="300"/>
      <c r="F42" s="300"/>
      <c r="G42" s="296">
        <f>AVERAGE(E36,P36)</f>
        <v>0</v>
      </c>
      <c r="H42" s="296" t="e">
        <f>E37</f>
        <v>#DIV/0!</v>
      </c>
      <c r="I42" s="300"/>
      <c r="J42" s="300"/>
      <c r="K42" s="300"/>
      <c r="L42" s="310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305"/>
      <c r="AC42" s="315"/>
    </row>
    <row r="43" spans="1:29" ht="26.4">
      <c r="B43" s="299"/>
      <c r="C43" s="300"/>
      <c r="D43" s="300"/>
      <c r="E43" s="300"/>
      <c r="F43" s="301" t="s">
        <v>281</v>
      </c>
      <c r="G43" s="296" t="e">
        <f>AVERAGE(E37,P37)</f>
        <v>#DIV/0!</v>
      </c>
      <c r="H43" s="296">
        <f>E38</f>
        <v>2</v>
      </c>
      <c r="I43" s="296" t="e">
        <f>IF((MAX(H43-G43,0)&lt;1),"",H43-G43)</f>
        <v>#DIV/0!</v>
      </c>
      <c r="J43" s="296" t="e">
        <f>(MAX(G43-H43,0))</f>
        <v>#DIV/0!</v>
      </c>
      <c r="K43" s="296" t="e">
        <f>IF(I43&lt;1,"",I43)</f>
        <v>#DIV/0!</v>
      </c>
      <c r="L43" s="310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305"/>
    </row>
    <row r="44" spans="1:29" ht="26.4">
      <c r="B44" s="299"/>
      <c r="C44" s="300"/>
      <c r="D44" s="300"/>
      <c r="E44" s="300"/>
      <c r="F44" s="301" t="s">
        <v>282</v>
      </c>
      <c r="G44" s="296" t="e">
        <f>AVERAGE(F37,Q37)</f>
        <v>#DIV/0!</v>
      </c>
      <c r="H44" s="296">
        <f>F38</f>
        <v>6</v>
      </c>
      <c r="I44" s="296" t="e">
        <f t="shared" ref="I44:I53" si="3">IF((MAX(H44-G44,0)&lt;1),"",H44-G44)</f>
        <v>#DIV/0!</v>
      </c>
      <c r="J44" s="296" t="e">
        <f t="shared" ref="J44:J53" si="4">(MAX(G44-H44,0))</f>
        <v>#DIV/0!</v>
      </c>
      <c r="K44" s="296" t="e">
        <f t="shared" ref="K44:K53" si="5">IF(I44&lt;1,"",I44)</f>
        <v>#DIV/0!</v>
      </c>
      <c r="L44" s="310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305"/>
    </row>
    <row r="45" spans="1:29" ht="26.4">
      <c r="B45" s="299"/>
      <c r="C45" s="300"/>
      <c r="D45" s="300"/>
      <c r="E45" s="300"/>
      <c r="F45" s="301" t="s">
        <v>283</v>
      </c>
      <c r="G45" s="296" t="e">
        <f>AVERAGE(G37,R37)</f>
        <v>#DIV/0!</v>
      </c>
      <c r="H45" s="296">
        <f>G38</f>
        <v>0</v>
      </c>
      <c r="I45" s="296" t="e">
        <f t="shared" si="3"/>
        <v>#DIV/0!</v>
      </c>
      <c r="J45" s="296" t="e">
        <f t="shared" si="4"/>
        <v>#DIV/0!</v>
      </c>
      <c r="K45" s="296" t="e">
        <f t="shared" si="5"/>
        <v>#DIV/0!</v>
      </c>
      <c r="L45" s="310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305"/>
    </row>
    <row r="46" spans="1:29" ht="26.4">
      <c r="B46" s="299"/>
      <c r="C46" s="300"/>
      <c r="D46" s="300"/>
      <c r="E46" s="300"/>
      <c r="F46" s="301" t="s">
        <v>284</v>
      </c>
      <c r="G46" s="296" t="e">
        <f>AVERAGE(H37,S37)</f>
        <v>#DIV/0!</v>
      </c>
      <c r="H46" s="296">
        <f>H38</f>
        <v>0</v>
      </c>
      <c r="I46" s="296" t="e">
        <f t="shared" si="3"/>
        <v>#DIV/0!</v>
      </c>
      <c r="J46" s="296" t="e">
        <f t="shared" si="4"/>
        <v>#DIV/0!</v>
      </c>
      <c r="K46" s="296" t="e">
        <f t="shared" si="5"/>
        <v>#DIV/0!</v>
      </c>
      <c r="L46" s="310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305"/>
    </row>
    <row r="47" spans="1:29" ht="26.4">
      <c r="B47" s="299"/>
      <c r="C47" s="300"/>
      <c r="D47" s="300"/>
      <c r="E47" s="300"/>
      <c r="F47" s="302" t="s">
        <v>285</v>
      </c>
      <c r="G47" s="296" t="e">
        <f>AVERAGE(I37,T37)</f>
        <v>#DIV/0!</v>
      </c>
      <c r="H47" s="296">
        <f>I38</f>
        <v>-2</v>
      </c>
      <c r="I47" s="296" t="e">
        <f t="shared" si="3"/>
        <v>#DIV/0!</v>
      </c>
      <c r="J47" s="296" t="e">
        <f t="shared" si="4"/>
        <v>#DIV/0!</v>
      </c>
      <c r="K47" s="296" t="e">
        <f t="shared" si="5"/>
        <v>#DIV/0!</v>
      </c>
      <c r="L47" s="310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305"/>
    </row>
    <row r="48" spans="1:29" ht="26.4">
      <c r="B48" s="299"/>
      <c r="C48" s="300"/>
      <c r="D48" s="300"/>
      <c r="E48" s="300"/>
      <c r="F48" s="302" t="s">
        <v>286</v>
      </c>
      <c r="G48" s="296" t="e">
        <f>AVERAGE(J37,U37)</f>
        <v>#DIV/0!</v>
      </c>
      <c r="H48" s="296">
        <f>J38</f>
        <v>-1</v>
      </c>
      <c r="I48" s="296" t="e">
        <f t="shared" si="3"/>
        <v>#DIV/0!</v>
      </c>
      <c r="J48" s="296" t="e">
        <f t="shared" si="4"/>
        <v>#DIV/0!</v>
      </c>
      <c r="K48" s="296" t="e">
        <f t="shared" si="5"/>
        <v>#DIV/0!</v>
      </c>
      <c r="L48" s="310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305"/>
    </row>
    <row r="49" spans="2:27" ht="26.4">
      <c r="B49" s="299"/>
      <c r="C49" s="300"/>
      <c r="D49" s="300"/>
      <c r="E49" s="300"/>
      <c r="F49" s="302" t="s">
        <v>287</v>
      </c>
      <c r="G49" s="296" t="e">
        <f>AVERAGE(K37,V37)</f>
        <v>#DIV/0!</v>
      </c>
      <c r="H49" s="296">
        <f>K38</f>
        <v>0</v>
      </c>
      <c r="I49" s="296" t="e">
        <f t="shared" si="3"/>
        <v>#DIV/0!</v>
      </c>
      <c r="J49" s="296" t="e">
        <f t="shared" si="4"/>
        <v>#DIV/0!</v>
      </c>
      <c r="K49" s="296" t="e">
        <f t="shared" si="5"/>
        <v>#DIV/0!</v>
      </c>
      <c r="L49" s="310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305"/>
    </row>
    <row r="50" spans="2:27" ht="26.4">
      <c r="B50" s="299"/>
      <c r="C50" s="300"/>
      <c r="D50" s="300"/>
      <c r="E50" s="300"/>
      <c r="F50" s="302" t="s">
        <v>288</v>
      </c>
      <c r="G50" s="296" t="e">
        <f>AVERAGE(L37,W37)</f>
        <v>#DIV/0!</v>
      </c>
      <c r="H50" s="296">
        <f>L38</f>
        <v>0</v>
      </c>
      <c r="I50" s="296" t="e">
        <f t="shared" si="3"/>
        <v>#DIV/0!</v>
      </c>
      <c r="J50" s="296" t="e">
        <f t="shared" si="4"/>
        <v>#DIV/0!</v>
      </c>
      <c r="K50" s="296" t="e">
        <f t="shared" si="5"/>
        <v>#DIV/0!</v>
      </c>
      <c r="L50" s="310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305"/>
    </row>
    <row r="51" spans="2:27">
      <c r="B51" s="299"/>
      <c r="C51" s="300"/>
      <c r="D51" s="300"/>
      <c r="E51" s="300"/>
      <c r="F51" s="302" t="s">
        <v>211</v>
      </c>
      <c r="G51" s="296" t="e">
        <f>AVERAGE(M37,X37)</f>
        <v>#DIV/0!</v>
      </c>
      <c r="H51" s="296">
        <f>M38</f>
        <v>0</v>
      </c>
      <c r="I51" s="296" t="e">
        <f t="shared" si="3"/>
        <v>#DIV/0!</v>
      </c>
      <c r="J51" s="296" t="e">
        <f t="shared" si="4"/>
        <v>#DIV/0!</v>
      </c>
      <c r="K51" s="296" t="e">
        <f t="shared" si="5"/>
        <v>#DIV/0!</v>
      </c>
      <c r="L51" s="310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305"/>
    </row>
    <row r="52" spans="2:27">
      <c r="B52" s="299"/>
      <c r="C52" s="300"/>
      <c r="D52" s="300"/>
      <c r="E52" s="300"/>
      <c r="F52" s="302" t="s">
        <v>275</v>
      </c>
      <c r="G52" s="296" t="e">
        <f>AVERAGE(N37,Y37)</f>
        <v>#DIV/0!</v>
      </c>
      <c r="H52" s="296">
        <f>N38</f>
        <v>0</v>
      </c>
      <c r="I52" s="296" t="e">
        <f t="shared" si="3"/>
        <v>#DIV/0!</v>
      </c>
      <c r="J52" s="296" t="e">
        <f t="shared" si="4"/>
        <v>#DIV/0!</v>
      </c>
      <c r="K52" s="296" t="e">
        <f t="shared" si="5"/>
        <v>#DIV/0!</v>
      </c>
      <c r="L52" s="310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305"/>
    </row>
    <row r="53" spans="2:27">
      <c r="B53" s="299"/>
      <c r="C53" s="300"/>
      <c r="D53" s="300"/>
      <c r="E53" s="300"/>
      <c r="F53" s="302" t="s">
        <v>276</v>
      </c>
      <c r="G53" s="296" t="e">
        <f>AVERAGE(O37,Z37)</f>
        <v>#DIV/0!</v>
      </c>
      <c r="H53" s="296">
        <f>O38</f>
        <v>0</v>
      </c>
      <c r="I53" s="296" t="e">
        <f t="shared" si="3"/>
        <v>#DIV/0!</v>
      </c>
      <c r="J53" s="296" t="e">
        <f t="shared" si="4"/>
        <v>#DIV/0!</v>
      </c>
      <c r="K53" s="296" t="e">
        <f t="shared" si="5"/>
        <v>#DIV/0!</v>
      </c>
      <c r="L53" s="310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305"/>
    </row>
    <row r="54" spans="2:27">
      <c r="B54" s="299"/>
      <c r="C54" s="300"/>
      <c r="D54" s="300"/>
      <c r="E54" s="300"/>
      <c r="F54" s="300"/>
      <c r="G54" s="300"/>
      <c r="H54" s="300"/>
      <c r="I54" s="300"/>
      <c r="J54" s="300"/>
      <c r="K54" s="300"/>
      <c r="L54" s="310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305"/>
    </row>
    <row r="55" spans="2:27">
      <c r="B55" s="299"/>
      <c r="C55" s="300"/>
      <c r="D55" s="300"/>
      <c r="E55" s="300"/>
      <c r="F55" s="300"/>
      <c r="G55" s="300"/>
      <c r="H55" s="300"/>
      <c r="I55" s="300"/>
      <c r="J55" s="300"/>
      <c r="K55" s="300"/>
      <c r="L55" s="310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305"/>
    </row>
    <row r="56" spans="2:27">
      <c r="B56" s="303"/>
      <c r="C56" s="304"/>
      <c r="D56" s="304"/>
      <c r="E56" s="300"/>
      <c r="F56" s="300"/>
      <c r="G56" s="300"/>
      <c r="H56" s="300"/>
      <c r="I56" s="300"/>
      <c r="J56" s="300"/>
      <c r="K56" s="300"/>
      <c r="L56" s="310"/>
      <c r="M56" s="294"/>
      <c r="N56" s="294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</row>
    <row r="57" spans="2:27">
      <c r="B57" s="305"/>
      <c r="C57" s="305"/>
      <c r="D57" s="305"/>
      <c r="E57" s="300"/>
      <c r="F57" s="300"/>
      <c r="G57" s="300"/>
      <c r="H57" s="300"/>
      <c r="I57" s="300"/>
      <c r="J57" s="300"/>
      <c r="K57" s="300"/>
      <c r="L57" s="310"/>
      <c r="M57" s="294"/>
      <c r="N57" s="294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</row>
    <row r="58" spans="2:27">
      <c r="B58" s="305"/>
      <c r="C58" s="305"/>
      <c r="D58" s="305"/>
      <c r="E58" s="305"/>
      <c r="F58" s="294"/>
      <c r="G58" s="294"/>
      <c r="H58" s="294"/>
      <c r="I58" s="294"/>
      <c r="J58" s="294"/>
      <c r="K58" s="294"/>
      <c r="L58" s="294"/>
      <c r="M58" s="294"/>
      <c r="N58" s="294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</row>
  </sheetData>
  <mergeCells count="4">
    <mergeCell ref="C3:Z3"/>
    <mergeCell ref="C4:O4"/>
    <mergeCell ref="P4:Z4"/>
    <mergeCell ref="B3:B5"/>
  </mergeCells>
  <pageMargins left="0.75" right="0.75" top="1" bottom="1" header="0.5" footer="0.5"/>
  <pageSetup paperSize="9" scale="68" orientation="portrait" horizontalDpi="300" verticalDpi="300"/>
  <headerFooter alignWithMargins="0"/>
  <colBreaks count="1" manualBreakCount="1">
    <brk id="2" max="1048575" man="1"/>
  </colBreaks>
  <ignoredErrors>
    <ignoredError sqref="V39:W39" formulaRange="1"/>
    <ignoredError sqref="G44:K54 I43 K43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B2:AH55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A20" sqref="A20"/>
    </sheetView>
  </sheetViews>
  <sheetFormatPr defaultColWidth="9" defaultRowHeight="14.4"/>
  <cols>
    <col min="2" max="2" width="18.5546875" customWidth="1"/>
    <col min="3" max="11" width="10.5546875" customWidth="1"/>
    <col min="12" max="13" width="9.5546875" customWidth="1"/>
    <col min="14" max="15" width="10.5546875" customWidth="1"/>
    <col min="16" max="16" width="9.5546875" customWidth="1"/>
    <col min="17" max="18" width="10.5546875" customWidth="1"/>
    <col min="19" max="19" width="9.5546875" customWidth="1"/>
    <col min="20" max="20" width="10.5546875" customWidth="1"/>
    <col min="21" max="22" width="9.5546875" customWidth="1"/>
    <col min="23" max="26" width="10.5546875" customWidth="1"/>
    <col min="27" max="28" width="9.5546875" customWidth="1"/>
    <col min="29" max="29" width="9.33203125" customWidth="1"/>
    <col min="30" max="30" width="9.5546875" customWidth="1"/>
    <col min="31" max="33" width="9.33203125" customWidth="1"/>
    <col min="34" max="34" width="11.5546875" customWidth="1"/>
  </cols>
  <sheetData>
    <row r="2" spans="2:34" ht="15.6">
      <c r="B2" s="279" t="s">
        <v>289</v>
      </c>
    </row>
    <row r="3" spans="2:34">
      <c r="C3" s="280">
        <v>1</v>
      </c>
      <c r="D3" s="280">
        <v>2</v>
      </c>
      <c r="E3" s="280">
        <v>3</v>
      </c>
      <c r="F3" s="280">
        <v>4</v>
      </c>
      <c r="G3" s="280">
        <v>5</v>
      </c>
      <c r="H3" s="280">
        <v>6</v>
      </c>
      <c r="I3" s="280">
        <v>7</v>
      </c>
      <c r="J3" s="280">
        <v>8</v>
      </c>
      <c r="K3" s="280">
        <v>9</v>
      </c>
      <c r="L3" s="280">
        <v>10</v>
      </c>
      <c r="M3" s="280">
        <v>11</v>
      </c>
      <c r="N3" s="280">
        <v>12</v>
      </c>
      <c r="O3" s="280">
        <v>13</v>
      </c>
      <c r="P3" s="280">
        <v>14</v>
      </c>
      <c r="Q3" s="280">
        <v>15</v>
      </c>
      <c r="R3" s="280">
        <v>16</v>
      </c>
      <c r="S3" s="280">
        <v>17</v>
      </c>
      <c r="T3" s="280">
        <v>18</v>
      </c>
      <c r="U3" s="280">
        <v>19</v>
      </c>
      <c r="V3" s="280">
        <v>20</v>
      </c>
      <c r="W3" s="280">
        <v>21</v>
      </c>
      <c r="X3" s="280">
        <v>22</v>
      </c>
      <c r="Y3" s="280">
        <v>23</v>
      </c>
      <c r="Z3" s="280">
        <v>24</v>
      </c>
      <c r="AA3" s="280">
        <v>25</v>
      </c>
      <c r="AB3" s="280">
        <v>26</v>
      </c>
      <c r="AC3" s="280">
        <v>27</v>
      </c>
      <c r="AD3" s="280">
        <v>28</v>
      </c>
      <c r="AE3" s="280">
        <v>29</v>
      </c>
      <c r="AF3" s="280">
        <v>30</v>
      </c>
      <c r="AG3" s="280">
        <v>31</v>
      </c>
      <c r="AH3" s="280" t="s">
        <v>110</v>
      </c>
    </row>
    <row r="4" spans="2:34">
      <c r="B4" s="265" t="s">
        <v>290</v>
      </c>
      <c r="C4" s="281">
        <f>IF(Actual!F212,Actual!F212,0)</f>
        <v>424.5</v>
      </c>
      <c r="D4" s="281">
        <f>IF(Actual!G212,Actual!G212,0)</f>
        <v>1168.5</v>
      </c>
      <c r="E4" s="281">
        <f>IF(Actual!H212,Actual!H212,0)</f>
        <v>1930.5</v>
      </c>
      <c r="F4" s="281">
        <f>IF(Actual!I212,Actual!I212,0)</f>
        <v>1350</v>
      </c>
      <c r="G4" s="281">
        <f>IF(Actual!J212,Actual!J212,0)</f>
        <v>1917</v>
      </c>
      <c r="H4" s="281">
        <f>IF(Actual!K212,Actual!K212,0)</f>
        <v>0</v>
      </c>
      <c r="I4" s="281">
        <f>IF(Actual!L212,Actual!L212,0)</f>
        <v>1809</v>
      </c>
      <c r="J4" s="281">
        <f>IF(Actual!M212,Actual!M212,0)</f>
        <v>0</v>
      </c>
      <c r="K4" s="281">
        <f>IF(Actual!N212,Actual!N212,0)</f>
        <v>0</v>
      </c>
      <c r="L4" s="281">
        <f>IF(Actual!O212,Actual!O212,0)</f>
        <v>0</v>
      </c>
      <c r="M4" s="281">
        <f>IF(Actual!P212,Actual!P212,0)</f>
        <v>0</v>
      </c>
      <c r="N4" s="281">
        <f>IF(Actual!Q212,Actual!Q212,0)</f>
        <v>0</v>
      </c>
      <c r="O4" s="281">
        <f>IF(Actual!R212,Actual!R212,0)</f>
        <v>0</v>
      </c>
      <c r="P4" s="281">
        <f>IF(Actual!S212,Actual!S212,0)</f>
        <v>0</v>
      </c>
      <c r="Q4" s="281">
        <f>IF(Actual!T212,Actual!T212,0)</f>
        <v>0</v>
      </c>
      <c r="R4" s="281">
        <f>IF(Actual!U212,Actual!U212,0)</f>
        <v>0</v>
      </c>
      <c r="S4" s="281">
        <f>IF(Actual!V212,Actual!V212,0)</f>
        <v>0</v>
      </c>
      <c r="T4" s="281">
        <f>IF(Actual!W212,Actual!W212,0)</f>
        <v>0</v>
      </c>
      <c r="U4" s="281">
        <f>IF(Actual!X212,Actual!X212,0)</f>
        <v>0</v>
      </c>
      <c r="V4" s="281">
        <f>IF(Actual!Y212,Actual!Y212,0)</f>
        <v>0</v>
      </c>
      <c r="W4" s="281">
        <f>IF(Actual!Z212,Actual!Z212,0)</f>
        <v>0</v>
      </c>
      <c r="X4" s="281">
        <f>IF(Actual!AA212,Actual!AA212,0)</f>
        <v>0</v>
      </c>
      <c r="Y4" s="281">
        <f>IF(Actual!AB212,Actual!AB212,0)</f>
        <v>0</v>
      </c>
      <c r="Z4" s="281">
        <f>IF(Actual!AC212,Actual!AC212,0)</f>
        <v>0</v>
      </c>
      <c r="AA4" s="281">
        <f>IF(Actual!AD212,Actual!AD212,0)</f>
        <v>0</v>
      </c>
      <c r="AB4" s="281">
        <f>IF(Actual!AE212,Actual!AE212,0)</f>
        <v>0</v>
      </c>
      <c r="AC4" s="281">
        <f>IF(Actual!AF212,Actual!AF212,0)</f>
        <v>0</v>
      </c>
      <c r="AD4" s="281">
        <f>IF(Actual!AG212,Actual!AG212,0)</f>
        <v>0</v>
      </c>
      <c r="AE4" s="281">
        <f>IF(Actual!AH212,Actual!AH212,0)</f>
        <v>0</v>
      </c>
      <c r="AF4" s="281">
        <f>IF(Actual!AI212,Actual!AI212,0)</f>
        <v>0</v>
      </c>
      <c r="AG4" s="281">
        <f>IF(Actual!AJ212,Actual!AJ212,0)</f>
        <v>0</v>
      </c>
      <c r="AH4" s="284">
        <f>SUM(C4:AG4)</f>
        <v>8599.5</v>
      </c>
    </row>
    <row r="5" spans="2:34">
      <c r="B5" s="265" t="s">
        <v>57</v>
      </c>
      <c r="C5" s="281">
        <f>Actual!F215</f>
        <v>0</v>
      </c>
      <c r="D5" s="281">
        <f>Actual!G215</f>
        <v>0</v>
      </c>
      <c r="E5" s="281">
        <f>Actual!H215</f>
        <v>0</v>
      </c>
      <c r="F5" s="281">
        <f>Actual!I215</f>
        <v>0</v>
      </c>
      <c r="G5" s="281">
        <f>Actual!J215</f>
        <v>0</v>
      </c>
      <c r="H5" s="281">
        <f>Actual!K215</f>
        <v>0</v>
      </c>
      <c r="I5" s="281">
        <f>Actual!L215</f>
        <v>0</v>
      </c>
      <c r="J5" s="281">
        <f>Actual!M215</f>
        <v>0</v>
      </c>
      <c r="K5" s="281">
        <f>Actual!N215</f>
        <v>0</v>
      </c>
      <c r="L5" s="281">
        <f>Actual!O215</f>
        <v>0</v>
      </c>
      <c r="M5" s="281">
        <f>Actual!P215</f>
        <v>0</v>
      </c>
      <c r="N5" s="281">
        <f>Actual!Q215</f>
        <v>0</v>
      </c>
      <c r="O5" s="281">
        <f>Actual!R215</f>
        <v>0</v>
      </c>
      <c r="P5" s="281">
        <f>Actual!S215</f>
        <v>0</v>
      </c>
      <c r="Q5" s="281">
        <f>Actual!T215</f>
        <v>0</v>
      </c>
      <c r="R5" s="281">
        <f>Actual!U215</f>
        <v>0</v>
      </c>
      <c r="S5" s="281">
        <f>Actual!V215</f>
        <v>0</v>
      </c>
      <c r="T5" s="281">
        <f>Actual!W215</f>
        <v>0</v>
      </c>
      <c r="U5" s="281">
        <f>Actual!X215</f>
        <v>0</v>
      </c>
      <c r="V5" s="281">
        <f>Actual!Y215</f>
        <v>0</v>
      </c>
      <c r="W5" s="281">
        <f>Actual!Z215</f>
        <v>0</v>
      </c>
      <c r="X5" s="281">
        <f>Actual!AA215</f>
        <v>0</v>
      </c>
      <c r="Y5" s="281">
        <f>Actual!AB215</f>
        <v>0</v>
      </c>
      <c r="Z5" s="281">
        <f>Actual!AC215</f>
        <v>0</v>
      </c>
      <c r="AA5" s="281">
        <f>Actual!AD215</f>
        <v>0</v>
      </c>
      <c r="AB5" s="281">
        <f>Actual!AE215</f>
        <v>0</v>
      </c>
      <c r="AC5" s="281">
        <f>Actual!AF215</f>
        <v>0</v>
      </c>
      <c r="AD5" s="281">
        <f>Actual!AG215</f>
        <v>0</v>
      </c>
      <c r="AE5" s="281">
        <f>Actual!AH215</f>
        <v>0</v>
      </c>
      <c r="AF5" s="281">
        <f>Actual!AI215</f>
        <v>0</v>
      </c>
      <c r="AG5" s="281">
        <f>Actual!AJ215</f>
        <v>0</v>
      </c>
      <c r="AH5" s="284">
        <f>SUM(C5:AG5)</f>
        <v>0</v>
      </c>
    </row>
    <row r="6" spans="2:34">
      <c r="B6" s="265" t="s">
        <v>291</v>
      </c>
      <c r="C6" s="282">
        <f>11-C8-C9</f>
        <v>11</v>
      </c>
      <c r="D6" s="282">
        <f t="shared" ref="D6:AG6" si="0">11-D8-D9</f>
        <v>11</v>
      </c>
      <c r="E6" s="282">
        <f t="shared" si="0"/>
        <v>11</v>
      </c>
      <c r="F6" s="282">
        <f t="shared" si="0"/>
        <v>11</v>
      </c>
      <c r="G6" s="282">
        <f t="shared" si="0"/>
        <v>11</v>
      </c>
      <c r="H6" s="282">
        <f t="shared" si="0"/>
        <v>11</v>
      </c>
      <c r="I6" s="282">
        <f t="shared" si="0"/>
        <v>11</v>
      </c>
      <c r="J6" s="282">
        <f t="shared" si="0"/>
        <v>11</v>
      </c>
      <c r="K6" s="282">
        <f t="shared" si="0"/>
        <v>11</v>
      </c>
      <c r="L6" s="282">
        <f t="shared" si="0"/>
        <v>11</v>
      </c>
      <c r="M6" s="282">
        <f t="shared" si="0"/>
        <v>11</v>
      </c>
      <c r="N6" s="282">
        <f t="shared" si="0"/>
        <v>11</v>
      </c>
      <c r="O6" s="282">
        <f t="shared" si="0"/>
        <v>11</v>
      </c>
      <c r="P6" s="282">
        <f t="shared" si="0"/>
        <v>11</v>
      </c>
      <c r="Q6" s="282">
        <f t="shared" si="0"/>
        <v>11</v>
      </c>
      <c r="R6" s="282">
        <f t="shared" si="0"/>
        <v>11</v>
      </c>
      <c r="S6" s="282">
        <f t="shared" si="0"/>
        <v>11</v>
      </c>
      <c r="T6" s="282">
        <f t="shared" si="0"/>
        <v>11</v>
      </c>
      <c r="U6" s="282">
        <f t="shared" si="0"/>
        <v>11</v>
      </c>
      <c r="V6" s="282">
        <f t="shared" si="0"/>
        <v>11</v>
      </c>
      <c r="W6" s="282">
        <f t="shared" si="0"/>
        <v>11</v>
      </c>
      <c r="X6" s="282">
        <f t="shared" si="0"/>
        <v>11</v>
      </c>
      <c r="Y6" s="282">
        <f t="shared" si="0"/>
        <v>11</v>
      </c>
      <c r="Z6" s="282">
        <f t="shared" si="0"/>
        <v>11</v>
      </c>
      <c r="AA6" s="282">
        <f t="shared" si="0"/>
        <v>11</v>
      </c>
      <c r="AB6" s="282">
        <f t="shared" si="0"/>
        <v>11</v>
      </c>
      <c r="AC6" s="282">
        <f t="shared" si="0"/>
        <v>11</v>
      </c>
      <c r="AD6" s="282">
        <f t="shared" si="0"/>
        <v>11</v>
      </c>
      <c r="AE6" s="282">
        <f t="shared" si="0"/>
        <v>11</v>
      </c>
      <c r="AF6" s="282">
        <f t="shared" si="0"/>
        <v>11</v>
      </c>
      <c r="AG6" s="282">
        <f t="shared" si="0"/>
        <v>11</v>
      </c>
      <c r="AH6" s="284">
        <f>AVERAGE(C6:AG6)</f>
        <v>11</v>
      </c>
    </row>
    <row r="7" spans="2:34">
      <c r="B7" s="265" t="s">
        <v>292</v>
      </c>
      <c r="C7" s="282">
        <f>11-C8-C9</f>
        <v>11</v>
      </c>
      <c r="D7" s="282">
        <f t="shared" ref="D7:AG7" si="1">11-D8-D9</f>
        <v>11</v>
      </c>
      <c r="E7" s="282">
        <f t="shared" si="1"/>
        <v>11</v>
      </c>
      <c r="F7" s="282">
        <f t="shared" si="1"/>
        <v>11</v>
      </c>
      <c r="G7" s="282">
        <f t="shared" si="1"/>
        <v>11</v>
      </c>
      <c r="H7" s="282">
        <f t="shared" si="1"/>
        <v>11</v>
      </c>
      <c r="I7" s="282">
        <f t="shared" si="1"/>
        <v>11</v>
      </c>
      <c r="J7" s="282">
        <f t="shared" si="1"/>
        <v>11</v>
      </c>
      <c r="K7" s="282">
        <f t="shared" si="1"/>
        <v>11</v>
      </c>
      <c r="L7" s="282">
        <f t="shared" si="1"/>
        <v>11</v>
      </c>
      <c r="M7" s="282">
        <f t="shared" si="1"/>
        <v>11</v>
      </c>
      <c r="N7" s="282">
        <f t="shared" si="1"/>
        <v>11</v>
      </c>
      <c r="O7" s="282">
        <f t="shared" si="1"/>
        <v>11</v>
      </c>
      <c r="P7" s="282">
        <f t="shared" si="1"/>
        <v>11</v>
      </c>
      <c r="Q7" s="282">
        <f t="shared" si="1"/>
        <v>11</v>
      </c>
      <c r="R7" s="282">
        <f t="shared" si="1"/>
        <v>11</v>
      </c>
      <c r="S7" s="282">
        <f t="shared" si="1"/>
        <v>11</v>
      </c>
      <c r="T7" s="282">
        <f t="shared" si="1"/>
        <v>11</v>
      </c>
      <c r="U7" s="282">
        <f t="shared" si="1"/>
        <v>11</v>
      </c>
      <c r="V7" s="282">
        <f t="shared" si="1"/>
        <v>11</v>
      </c>
      <c r="W7" s="282">
        <f t="shared" si="1"/>
        <v>11</v>
      </c>
      <c r="X7" s="282">
        <f t="shared" si="1"/>
        <v>11</v>
      </c>
      <c r="Y7" s="282">
        <f t="shared" si="1"/>
        <v>11</v>
      </c>
      <c r="Z7" s="282">
        <f t="shared" si="1"/>
        <v>11</v>
      </c>
      <c r="AA7" s="282">
        <f t="shared" si="1"/>
        <v>11</v>
      </c>
      <c r="AB7" s="282">
        <f t="shared" si="1"/>
        <v>11</v>
      </c>
      <c r="AC7" s="282">
        <f t="shared" si="1"/>
        <v>11</v>
      </c>
      <c r="AD7" s="282">
        <f t="shared" si="1"/>
        <v>11</v>
      </c>
      <c r="AE7" s="282">
        <f t="shared" si="1"/>
        <v>11</v>
      </c>
      <c r="AF7" s="282">
        <f t="shared" si="1"/>
        <v>11</v>
      </c>
      <c r="AG7" s="282">
        <f t="shared" si="1"/>
        <v>11</v>
      </c>
      <c r="AH7" s="284">
        <f>AVERAGE(C7:AG7)</f>
        <v>11</v>
      </c>
    </row>
    <row r="8" spans="2:34">
      <c r="B8" s="265" t="s">
        <v>293</v>
      </c>
      <c r="C8" s="283">
        <f>Actual!E256</f>
        <v>0</v>
      </c>
      <c r="D8" s="283">
        <f>Actual!F256</f>
        <v>0</v>
      </c>
      <c r="E8" s="283">
        <f>Actual!G256</f>
        <v>0</v>
      </c>
      <c r="F8" s="283">
        <f>Actual!H256</f>
        <v>0</v>
      </c>
      <c r="G8" s="283">
        <f>Actual!I256</f>
        <v>0</v>
      </c>
      <c r="H8" s="283">
        <f>Actual!J256</f>
        <v>0</v>
      </c>
      <c r="I8" s="283">
        <f>Actual!K256</f>
        <v>0</v>
      </c>
      <c r="J8" s="283">
        <f>Actual!L256</f>
        <v>0</v>
      </c>
      <c r="K8" s="283">
        <f>Actual!M256</f>
        <v>0</v>
      </c>
      <c r="L8" s="283">
        <f>Actual!N256</f>
        <v>0</v>
      </c>
      <c r="M8" s="283">
        <f>Actual!O256</f>
        <v>0</v>
      </c>
      <c r="N8" s="283">
        <f>Actual!P256</f>
        <v>0</v>
      </c>
      <c r="O8" s="283">
        <f>Actual!Q256</f>
        <v>0</v>
      </c>
      <c r="P8" s="283">
        <f>Actual!R256</f>
        <v>0</v>
      </c>
      <c r="Q8" s="283">
        <f>Actual!S256</f>
        <v>0</v>
      </c>
      <c r="R8" s="283">
        <f>Actual!T256</f>
        <v>0</v>
      </c>
      <c r="S8" s="283">
        <f>Actual!U256</f>
        <v>0</v>
      </c>
      <c r="T8" s="283">
        <f>Actual!V256</f>
        <v>0</v>
      </c>
      <c r="U8" s="283">
        <f>Actual!W256</f>
        <v>0</v>
      </c>
      <c r="V8" s="283">
        <f>Actual!X256</f>
        <v>0</v>
      </c>
      <c r="W8" s="283">
        <f>Actual!Y256</f>
        <v>0</v>
      </c>
      <c r="X8" s="283">
        <f>Actual!Z256</f>
        <v>0</v>
      </c>
      <c r="Y8" s="283">
        <f>Actual!AA256</f>
        <v>0</v>
      </c>
      <c r="Z8" s="283">
        <f>Actual!AB256</f>
        <v>0</v>
      </c>
      <c r="AA8" s="283">
        <f>Actual!AC256</f>
        <v>0</v>
      </c>
      <c r="AB8" s="283">
        <f>Actual!AD256</f>
        <v>0</v>
      </c>
      <c r="AC8" s="283">
        <f>Actual!AE256</f>
        <v>0</v>
      </c>
      <c r="AD8" s="283">
        <f>Actual!AF256</f>
        <v>0</v>
      </c>
      <c r="AE8" s="283">
        <f>Actual!AG256</f>
        <v>0</v>
      </c>
      <c r="AF8" s="283">
        <f>Actual!AH256</f>
        <v>0</v>
      </c>
      <c r="AG8" s="283">
        <f>Actual!AI256</f>
        <v>0</v>
      </c>
      <c r="AH8" s="284">
        <f>SUM(C8:AG8)</f>
        <v>0</v>
      </c>
    </row>
    <row r="9" spans="2:34">
      <c r="B9" s="265" t="s">
        <v>294</v>
      </c>
      <c r="C9" s="283">
        <f>Actual!E263</f>
        <v>0</v>
      </c>
      <c r="D9" s="283">
        <f>Actual!F263</f>
        <v>0</v>
      </c>
      <c r="E9" s="283">
        <f>Actual!G263</f>
        <v>0</v>
      </c>
      <c r="F9" s="283">
        <f>Actual!H263</f>
        <v>0</v>
      </c>
      <c r="G9" s="283">
        <f>Actual!I263</f>
        <v>0</v>
      </c>
      <c r="H9" s="283">
        <f>Actual!J263</f>
        <v>0</v>
      </c>
      <c r="I9" s="283">
        <f>Actual!K263</f>
        <v>0</v>
      </c>
      <c r="J9" s="283">
        <f>Actual!L263</f>
        <v>0</v>
      </c>
      <c r="K9" s="283">
        <f>Actual!M263</f>
        <v>0</v>
      </c>
      <c r="L9" s="283">
        <f>Actual!N263</f>
        <v>0</v>
      </c>
      <c r="M9" s="283">
        <f>Actual!O263</f>
        <v>0</v>
      </c>
      <c r="N9" s="283">
        <f>Actual!P263</f>
        <v>0</v>
      </c>
      <c r="O9" s="283">
        <f>Actual!Q263</f>
        <v>0</v>
      </c>
      <c r="P9" s="283">
        <f>Actual!R263</f>
        <v>0</v>
      </c>
      <c r="Q9" s="283">
        <f>Actual!S263</f>
        <v>0</v>
      </c>
      <c r="R9" s="283">
        <f>Actual!T263</f>
        <v>0</v>
      </c>
      <c r="S9" s="283">
        <f>Actual!U263</f>
        <v>0</v>
      </c>
      <c r="T9" s="283">
        <f>Actual!V263</f>
        <v>0</v>
      </c>
      <c r="U9" s="283">
        <f>Actual!W263</f>
        <v>0</v>
      </c>
      <c r="V9" s="283">
        <f>Actual!X263</f>
        <v>0</v>
      </c>
      <c r="W9" s="283">
        <f>Actual!Y263</f>
        <v>0</v>
      </c>
      <c r="X9" s="283">
        <f>Actual!Z263</f>
        <v>0</v>
      </c>
      <c r="Y9" s="283">
        <f>Actual!AA263</f>
        <v>0</v>
      </c>
      <c r="Z9" s="283">
        <f>Actual!AB263</f>
        <v>0</v>
      </c>
      <c r="AA9" s="283">
        <f>Actual!AC263</f>
        <v>0</v>
      </c>
      <c r="AB9" s="283">
        <f>Actual!AD263</f>
        <v>0</v>
      </c>
      <c r="AC9" s="283">
        <f>Actual!AE263</f>
        <v>0</v>
      </c>
      <c r="AD9" s="283">
        <f>Actual!AF263</f>
        <v>0</v>
      </c>
      <c r="AE9" s="283">
        <f>Actual!AG263</f>
        <v>0</v>
      </c>
      <c r="AF9" s="283">
        <f>Actual!AH263</f>
        <v>0</v>
      </c>
      <c r="AG9" s="283">
        <f>Actual!AI263</f>
        <v>0</v>
      </c>
      <c r="AH9" s="284">
        <f>SUM(C9:AG9)</f>
        <v>0</v>
      </c>
    </row>
    <row r="31" spans="2:34" ht="15.6" hidden="1">
      <c r="B31" s="279" t="s">
        <v>103</v>
      </c>
    </row>
    <row r="32" spans="2:34" hidden="1">
      <c r="C32" s="280">
        <v>1</v>
      </c>
      <c r="D32" s="280">
        <v>2</v>
      </c>
      <c r="E32" s="280">
        <v>3</v>
      </c>
      <c r="F32" s="280">
        <v>4</v>
      </c>
      <c r="G32" s="280">
        <v>5</v>
      </c>
      <c r="H32" s="280">
        <v>6</v>
      </c>
      <c r="I32" s="280">
        <v>7</v>
      </c>
      <c r="J32" s="280">
        <v>8</v>
      </c>
      <c r="K32" s="280">
        <v>9</v>
      </c>
      <c r="L32" s="280">
        <v>10</v>
      </c>
      <c r="M32" s="280">
        <v>11</v>
      </c>
      <c r="N32" s="280">
        <v>12</v>
      </c>
      <c r="O32" s="280">
        <v>13</v>
      </c>
      <c r="P32" s="280">
        <v>14</v>
      </c>
      <c r="Q32" s="280">
        <v>15</v>
      </c>
      <c r="R32" s="280">
        <v>16</v>
      </c>
      <c r="S32" s="280">
        <v>17</v>
      </c>
      <c r="T32" s="280">
        <v>18</v>
      </c>
      <c r="U32" s="280">
        <v>19</v>
      </c>
      <c r="V32" s="280">
        <v>20</v>
      </c>
      <c r="W32" s="280">
        <v>21</v>
      </c>
      <c r="X32" s="280">
        <v>22</v>
      </c>
      <c r="Y32" s="280">
        <v>23</v>
      </c>
      <c r="Z32" s="280">
        <v>24</v>
      </c>
      <c r="AA32" s="280">
        <v>25</v>
      </c>
      <c r="AB32" s="280">
        <v>26</v>
      </c>
      <c r="AC32" s="280">
        <v>27</v>
      </c>
      <c r="AD32" s="280">
        <v>28</v>
      </c>
      <c r="AE32" s="280">
        <v>29</v>
      </c>
      <c r="AF32" s="280">
        <v>30</v>
      </c>
      <c r="AG32" s="280">
        <v>31</v>
      </c>
      <c r="AH32" s="280" t="s">
        <v>110</v>
      </c>
    </row>
    <row r="33" spans="2:34" hidden="1">
      <c r="B33" s="265" t="s">
        <v>290</v>
      </c>
      <c r="C33" s="281">
        <f>Actual!F194</f>
        <v>0</v>
      </c>
      <c r="D33" s="281">
        <f>Actual!G194</f>
        <v>0</v>
      </c>
      <c r="E33" s="281">
        <f>Actual!H194</f>
        <v>0</v>
      </c>
      <c r="F33" s="281">
        <f>Actual!I194</f>
        <v>0</v>
      </c>
      <c r="G33" s="281">
        <f>Actual!J194</f>
        <v>0</v>
      </c>
      <c r="H33" s="281">
        <f>Actual!K194</f>
        <v>0</v>
      </c>
      <c r="I33" s="281">
        <f>Actual!L194</f>
        <v>0</v>
      </c>
      <c r="J33" s="281">
        <f>Actual!M194</f>
        <v>0</v>
      </c>
      <c r="K33" s="281">
        <f>Actual!N194</f>
        <v>0</v>
      </c>
      <c r="L33" s="281">
        <f>Actual!O194</f>
        <v>0</v>
      </c>
      <c r="M33" s="281">
        <f>Actual!P194</f>
        <v>0</v>
      </c>
      <c r="N33" s="281">
        <f>Actual!Q194</f>
        <v>0</v>
      </c>
      <c r="O33" s="281">
        <f>Actual!R194</f>
        <v>0</v>
      </c>
      <c r="P33" s="281">
        <f>Actual!S194</f>
        <v>0</v>
      </c>
      <c r="Q33" s="281">
        <f>Actual!T194</f>
        <v>0</v>
      </c>
      <c r="R33" s="281">
        <f>Actual!U194</f>
        <v>0</v>
      </c>
      <c r="S33" s="281">
        <f>Actual!V194</f>
        <v>0</v>
      </c>
      <c r="T33" s="281">
        <f>Actual!W194</f>
        <v>0</v>
      </c>
      <c r="U33" s="281">
        <f>Actual!X194</f>
        <v>0</v>
      </c>
      <c r="V33" s="281">
        <f>Actual!Y194</f>
        <v>0</v>
      </c>
      <c r="W33" s="281">
        <f>Actual!Z194</f>
        <v>0</v>
      </c>
      <c r="X33" s="281">
        <f>Actual!AA194</f>
        <v>0</v>
      </c>
      <c r="Y33" s="281">
        <f>Actual!AB194</f>
        <v>0</v>
      </c>
      <c r="Z33" s="281">
        <f>Actual!AC194</f>
        <v>0</v>
      </c>
      <c r="AA33" s="281">
        <f>Actual!AD194</f>
        <v>0</v>
      </c>
      <c r="AB33" s="281">
        <f>Actual!AE194</f>
        <v>0</v>
      </c>
      <c r="AC33" s="281">
        <f>Actual!AF194</f>
        <v>0</v>
      </c>
      <c r="AD33" s="281">
        <f>Actual!AG194</f>
        <v>0</v>
      </c>
      <c r="AE33" s="281">
        <f>Actual!AH194</f>
        <v>0</v>
      </c>
      <c r="AF33" s="281">
        <f>Actual!AI194</f>
        <v>0</v>
      </c>
      <c r="AG33" s="281">
        <f>Actual!AJ194</f>
        <v>0</v>
      </c>
      <c r="AH33" s="284">
        <f>SUM(C33:AG33)</f>
        <v>0</v>
      </c>
    </row>
    <row r="34" spans="2:34" hidden="1">
      <c r="B34" s="265" t="s">
        <v>57</v>
      </c>
      <c r="C34" s="281">
        <f>Actual!F197</f>
        <v>0</v>
      </c>
      <c r="D34" s="281">
        <f>Actual!G197</f>
        <v>0</v>
      </c>
      <c r="E34" s="281">
        <f>Actual!H197</f>
        <v>0</v>
      </c>
      <c r="F34" s="281">
        <f>Actual!I197</f>
        <v>0</v>
      </c>
      <c r="G34" s="281">
        <f>Actual!J197</f>
        <v>0</v>
      </c>
      <c r="H34" s="281">
        <f>Actual!K197</f>
        <v>0</v>
      </c>
      <c r="I34" s="281">
        <f>Actual!L197</f>
        <v>0</v>
      </c>
      <c r="J34" s="281">
        <f>Actual!M197</f>
        <v>0</v>
      </c>
      <c r="K34" s="281">
        <f>Actual!N197</f>
        <v>0</v>
      </c>
      <c r="L34" s="281">
        <f>Actual!O197</f>
        <v>0</v>
      </c>
      <c r="M34" s="281">
        <f>Actual!P197</f>
        <v>0</v>
      </c>
      <c r="N34" s="281">
        <f>Actual!Q197</f>
        <v>0</v>
      </c>
      <c r="O34" s="281">
        <f>Actual!R197</f>
        <v>0</v>
      </c>
      <c r="P34" s="281">
        <f>Actual!S197</f>
        <v>0</v>
      </c>
      <c r="Q34" s="281">
        <f>Actual!T197</f>
        <v>0</v>
      </c>
      <c r="R34" s="281">
        <f>Actual!U197</f>
        <v>0</v>
      </c>
      <c r="S34" s="281">
        <f>Actual!V197</f>
        <v>0</v>
      </c>
      <c r="T34" s="281">
        <f>Actual!W197</f>
        <v>0</v>
      </c>
      <c r="U34" s="281">
        <f>Actual!X197</f>
        <v>0</v>
      </c>
      <c r="V34" s="281">
        <f>Actual!Y197</f>
        <v>0</v>
      </c>
      <c r="W34" s="281">
        <f>Actual!Z197</f>
        <v>0</v>
      </c>
      <c r="X34" s="281">
        <f>Actual!AA197</f>
        <v>0</v>
      </c>
      <c r="Y34" s="281">
        <f>Actual!AB197</f>
        <v>0</v>
      </c>
      <c r="Z34" s="281">
        <f>Actual!AC197</f>
        <v>0</v>
      </c>
      <c r="AA34" s="281">
        <f>Actual!AD197</f>
        <v>0</v>
      </c>
      <c r="AB34" s="281">
        <f>Actual!AE197</f>
        <v>0</v>
      </c>
      <c r="AC34" s="281">
        <f>Actual!AF197</f>
        <v>0</v>
      </c>
      <c r="AD34" s="281">
        <f>Actual!AG197</f>
        <v>0</v>
      </c>
      <c r="AE34" s="281">
        <f>Actual!AH197</f>
        <v>0</v>
      </c>
      <c r="AF34" s="281">
        <f>Actual!AI197</f>
        <v>0</v>
      </c>
      <c r="AG34" s="281">
        <f>Actual!AJ197</f>
        <v>0</v>
      </c>
      <c r="AH34" s="284">
        <f>SUM(C34:AG34)</f>
        <v>0</v>
      </c>
    </row>
    <row r="35" spans="2:34" hidden="1">
      <c r="B35" s="265" t="s">
        <v>291</v>
      </c>
      <c r="C35" s="282">
        <f>22-C37-C38</f>
        <v>22</v>
      </c>
      <c r="D35" s="282">
        <f t="shared" ref="D35:K35" si="2">22-D37-D38</f>
        <v>22</v>
      </c>
      <c r="E35" s="282">
        <f t="shared" si="2"/>
        <v>22</v>
      </c>
      <c r="F35" s="282">
        <f t="shared" si="2"/>
        <v>22</v>
      </c>
      <c r="G35" s="282">
        <f t="shared" si="2"/>
        <v>22</v>
      </c>
      <c r="H35" s="282">
        <f t="shared" si="2"/>
        <v>22</v>
      </c>
      <c r="I35" s="282">
        <f t="shared" si="2"/>
        <v>22</v>
      </c>
      <c r="J35" s="282">
        <f t="shared" si="2"/>
        <v>22</v>
      </c>
      <c r="K35" s="282">
        <f t="shared" si="2"/>
        <v>22</v>
      </c>
      <c r="L35" s="282">
        <f t="shared" ref="L35:AG35" si="3">22-L37-L38</f>
        <v>22</v>
      </c>
      <c r="M35" s="282">
        <f t="shared" si="3"/>
        <v>22</v>
      </c>
      <c r="N35" s="282">
        <f t="shared" si="3"/>
        <v>22</v>
      </c>
      <c r="O35" s="282">
        <f t="shared" si="3"/>
        <v>22</v>
      </c>
      <c r="P35" s="282">
        <f t="shared" si="3"/>
        <v>22</v>
      </c>
      <c r="Q35" s="282">
        <f t="shared" si="3"/>
        <v>22</v>
      </c>
      <c r="R35" s="282">
        <f t="shared" si="3"/>
        <v>22</v>
      </c>
      <c r="S35" s="282">
        <f t="shared" si="3"/>
        <v>22</v>
      </c>
      <c r="T35" s="282">
        <f t="shared" si="3"/>
        <v>22</v>
      </c>
      <c r="U35" s="282">
        <f t="shared" si="3"/>
        <v>22</v>
      </c>
      <c r="V35" s="282">
        <f t="shared" si="3"/>
        <v>22</v>
      </c>
      <c r="W35" s="282">
        <f t="shared" si="3"/>
        <v>22</v>
      </c>
      <c r="X35" s="282">
        <f t="shared" si="3"/>
        <v>22</v>
      </c>
      <c r="Y35" s="282">
        <f t="shared" si="3"/>
        <v>22</v>
      </c>
      <c r="Z35" s="282">
        <f t="shared" si="3"/>
        <v>22</v>
      </c>
      <c r="AA35" s="282">
        <f t="shared" si="3"/>
        <v>22</v>
      </c>
      <c r="AB35" s="282">
        <f t="shared" si="3"/>
        <v>22</v>
      </c>
      <c r="AC35" s="282">
        <f t="shared" si="3"/>
        <v>22</v>
      </c>
      <c r="AD35" s="282">
        <f t="shared" si="3"/>
        <v>22</v>
      </c>
      <c r="AE35" s="282">
        <f t="shared" si="3"/>
        <v>22</v>
      </c>
      <c r="AF35" s="282">
        <f t="shared" si="3"/>
        <v>22</v>
      </c>
      <c r="AG35" s="282">
        <f t="shared" si="3"/>
        <v>22</v>
      </c>
      <c r="AH35" s="284">
        <f>AVERAGE(C35:AG35)</f>
        <v>22</v>
      </c>
    </row>
    <row r="36" spans="2:34" hidden="1">
      <c r="B36" s="265" t="s">
        <v>292</v>
      </c>
      <c r="C36" s="282">
        <f t="shared" ref="C36:K36" si="4">22-C38-C37</f>
        <v>22</v>
      </c>
      <c r="D36" s="282">
        <f t="shared" si="4"/>
        <v>22</v>
      </c>
      <c r="E36" s="282">
        <f t="shared" si="4"/>
        <v>22</v>
      </c>
      <c r="F36" s="282">
        <f t="shared" si="4"/>
        <v>22</v>
      </c>
      <c r="G36" s="282">
        <f t="shared" si="4"/>
        <v>22</v>
      </c>
      <c r="H36" s="282">
        <f t="shared" si="4"/>
        <v>22</v>
      </c>
      <c r="I36" s="282">
        <f t="shared" si="4"/>
        <v>22</v>
      </c>
      <c r="J36" s="282">
        <f t="shared" si="4"/>
        <v>22</v>
      </c>
      <c r="K36" s="282">
        <f t="shared" si="4"/>
        <v>22</v>
      </c>
      <c r="L36" s="282">
        <f t="shared" ref="L36:AG36" si="5">22-L38-L37</f>
        <v>22</v>
      </c>
      <c r="M36" s="282">
        <f t="shared" si="5"/>
        <v>22</v>
      </c>
      <c r="N36" s="282">
        <f t="shared" si="5"/>
        <v>22</v>
      </c>
      <c r="O36" s="282">
        <f t="shared" si="5"/>
        <v>22</v>
      </c>
      <c r="P36" s="282">
        <f t="shared" si="5"/>
        <v>22</v>
      </c>
      <c r="Q36" s="282">
        <f t="shared" si="5"/>
        <v>22</v>
      </c>
      <c r="R36" s="282">
        <f t="shared" si="5"/>
        <v>22</v>
      </c>
      <c r="S36" s="282">
        <f t="shared" si="5"/>
        <v>22</v>
      </c>
      <c r="T36" s="282">
        <f t="shared" si="5"/>
        <v>22</v>
      </c>
      <c r="U36" s="282">
        <f t="shared" si="5"/>
        <v>22</v>
      </c>
      <c r="V36" s="282">
        <f t="shared" si="5"/>
        <v>22</v>
      </c>
      <c r="W36" s="282">
        <f t="shared" si="5"/>
        <v>22</v>
      </c>
      <c r="X36" s="282">
        <f t="shared" si="5"/>
        <v>22</v>
      </c>
      <c r="Y36" s="282">
        <f t="shared" si="5"/>
        <v>22</v>
      </c>
      <c r="Z36" s="282">
        <f t="shared" si="5"/>
        <v>22</v>
      </c>
      <c r="AA36" s="282">
        <f t="shared" si="5"/>
        <v>22</v>
      </c>
      <c r="AB36" s="282">
        <f t="shared" si="5"/>
        <v>22</v>
      </c>
      <c r="AC36" s="282">
        <f t="shared" si="5"/>
        <v>22</v>
      </c>
      <c r="AD36" s="282">
        <f t="shared" si="5"/>
        <v>22</v>
      </c>
      <c r="AE36" s="282">
        <f t="shared" si="5"/>
        <v>22</v>
      </c>
      <c r="AF36" s="282">
        <f t="shared" si="5"/>
        <v>22</v>
      </c>
      <c r="AG36" s="282">
        <f t="shared" si="5"/>
        <v>22</v>
      </c>
      <c r="AH36" s="284">
        <f>AVERAGE(C36:AG36)</f>
        <v>22</v>
      </c>
    </row>
    <row r="37" spans="2:34" hidden="1">
      <c r="B37" s="265" t="s">
        <v>295</v>
      </c>
      <c r="C37" s="283">
        <f>Actual!E254</f>
        <v>0</v>
      </c>
      <c r="D37" s="283">
        <f>Actual!F254</f>
        <v>0</v>
      </c>
      <c r="E37" s="283">
        <f>Actual!G254</f>
        <v>0</v>
      </c>
      <c r="F37" s="283">
        <f>Actual!H254</f>
        <v>0</v>
      </c>
      <c r="G37" s="283">
        <f>Actual!I254</f>
        <v>0</v>
      </c>
      <c r="H37" s="283">
        <f>Actual!J254</f>
        <v>0</v>
      </c>
      <c r="I37" s="283">
        <f>Actual!K254</f>
        <v>0</v>
      </c>
      <c r="J37" s="283">
        <f>Actual!L254</f>
        <v>0</v>
      </c>
      <c r="K37" s="283">
        <f>Actual!M254</f>
        <v>0</v>
      </c>
      <c r="L37" s="283">
        <f>Actual!N254</f>
        <v>0</v>
      </c>
      <c r="M37" s="283">
        <f>Actual!O254</f>
        <v>0</v>
      </c>
      <c r="N37" s="283">
        <f>Actual!P254</f>
        <v>0</v>
      </c>
      <c r="O37" s="283">
        <f>Actual!Q254</f>
        <v>0</v>
      </c>
      <c r="P37" s="283">
        <f>Actual!R254</f>
        <v>0</v>
      </c>
      <c r="Q37" s="283">
        <f>Actual!S254</f>
        <v>0</v>
      </c>
      <c r="R37" s="283">
        <f>Actual!T254</f>
        <v>0</v>
      </c>
      <c r="S37" s="283">
        <f>Actual!U254</f>
        <v>0</v>
      </c>
      <c r="T37" s="283">
        <f>Actual!V254</f>
        <v>0</v>
      </c>
      <c r="U37" s="283">
        <f>Actual!W254</f>
        <v>0</v>
      </c>
      <c r="V37" s="283">
        <f>Actual!X254</f>
        <v>0</v>
      </c>
      <c r="W37" s="283">
        <f>Actual!Y254</f>
        <v>0</v>
      </c>
      <c r="X37" s="283">
        <f>Actual!Z254</f>
        <v>0</v>
      </c>
      <c r="Y37" s="283">
        <f>Actual!AA254</f>
        <v>0</v>
      </c>
      <c r="Z37" s="283">
        <f>Actual!AB254</f>
        <v>0</v>
      </c>
      <c r="AA37" s="283">
        <f>Actual!AC254</f>
        <v>0</v>
      </c>
      <c r="AB37" s="283">
        <f>Actual!AD254</f>
        <v>0</v>
      </c>
      <c r="AC37" s="283">
        <f>Actual!AE254</f>
        <v>0</v>
      </c>
      <c r="AD37" s="283">
        <f>Actual!AF254</f>
        <v>0</v>
      </c>
      <c r="AE37" s="283">
        <f>Actual!AG254</f>
        <v>0</v>
      </c>
      <c r="AF37" s="283">
        <f>Actual!AH254</f>
        <v>0</v>
      </c>
      <c r="AG37" s="283">
        <f>Actual!AI254</f>
        <v>0</v>
      </c>
      <c r="AH37" s="284">
        <f>SUM(C37:AG37)</f>
        <v>0</v>
      </c>
    </row>
    <row r="38" spans="2:34" hidden="1">
      <c r="B38" s="265" t="s">
        <v>296</v>
      </c>
      <c r="C38" s="283">
        <f>Actual!E261</f>
        <v>0</v>
      </c>
      <c r="D38" s="283">
        <f>Actual!F261</f>
        <v>0</v>
      </c>
      <c r="E38" s="283">
        <f>Actual!G261</f>
        <v>0</v>
      </c>
      <c r="F38" s="283">
        <f>Actual!H261</f>
        <v>0</v>
      </c>
      <c r="G38" s="283">
        <f>Actual!I261</f>
        <v>0</v>
      </c>
      <c r="H38" s="283">
        <f>Actual!J261</f>
        <v>0</v>
      </c>
      <c r="I38" s="283">
        <f>Actual!K261</f>
        <v>0</v>
      </c>
      <c r="J38" s="283">
        <f>Actual!L261</f>
        <v>0</v>
      </c>
      <c r="K38" s="283">
        <f>Actual!M261</f>
        <v>0</v>
      </c>
      <c r="L38" s="283">
        <f>Actual!N261</f>
        <v>0</v>
      </c>
      <c r="M38" s="283">
        <f>Actual!O261</f>
        <v>0</v>
      </c>
      <c r="N38" s="283">
        <f>Actual!P261</f>
        <v>0</v>
      </c>
      <c r="O38" s="283">
        <f>Actual!Q261</f>
        <v>0</v>
      </c>
      <c r="P38" s="283">
        <f>Actual!R261</f>
        <v>0</v>
      </c>
      <c r="Q38" s="283">
        <f>Actual!S261</f>
        <v>0</v>
      </c>
      <c r="R38" s="283">
        <f>Actual!T261</f>
        <v>0</v>
      </c>
      <c r="S38" s="283">
        <f>Actual!U261</f>
        <v>0</v>
      </c>
      <c r="T38" s="283">
        <f>Actual!V261</f>
        <v>0</v>
      </c>
      <c r="U38" s="283">
        <f>Actual!W261</f>
        <v>0</v>
      </c>
      <c r="V38" s="283">
        <f>Actual!X261</f>
        <v>0</v>
      </c>
      <c r="W38" s="283">
        <f>Actual!Y261</f>
        <v>0</v>
      </c>
      <c r="X38" s="283">
        <f>Actual!Z261</f>
        <v>0</v>
      </c>
      <c r="Y38" s="283">
        <f>Actual!AA261</f>
        <v>0</v>
      </c>
      <c r="Z38" s="283">
        <f>Actual!AB261</f>
        <v>0</v>
      </c>
      <c r="AA38" s="283">
        <f>Actual!AC261</f>
        <v>0</v>
      </c>
      <c r="AB38" s="283">
        <f>Actual!AD261</f>
        <v>0</v>
      </c>
      <c r="AC38" s="283">
        <f>Actual!AE261</f>
        <v>0</v>
      </c>
      <c r="AD38" s="283">
        <f>Actual!AF261</f>
        <v>0</v>
      </c>
      <c r="AE38" s="283">
        <f>Actual!AG261</f>
        <v>0</v>
      </c>
      <c r="AF38" s="283">
        <f>Actual!AH261</f>
        <v>0</v>
      </c>
      <c r="AG38" s="283">
        <f>Actual!AI261</f>
        <v>0</v>
      </c>
      <c r="AH38" s="284">
        <f>SUM(C38:AG38)</f>
        <v>0</v>
      </c>
    </row>
    <row r="39" spans="2:34" hidden="1"/>
    <row r="40" spans="2:34" hidden="1"/>
    <row r="41" spans="2:34" hidden="1"/>
    <row r="42" spans="2:34" hidden="1"/>
    <row r="43" spans="2:34" hidden="1"/>
    <row r="44" spans="2:34" hidden="1"/>
    <row r="45" spans="2:34" hidden="1"/>
    <row r="46" spans="2:34" hidden="1"/>
    <row r="47" spans="2:34" hidden="1"/>
    <row r="48" spans="2:34" hidden="1"/>
    <row r="49" hidden="1"/>
    <row r="50" hidden="1"/>
    <row r="51" hidden="1"/>
    <row r="52" hidden="1"/>
    <row r="53" hidden="1"/>
    <row r="54" hidden="1"/>
    <row r="55" hidden="1"/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2" tint="-0.249977111117893"/>
  </sheetPr>
  <dimension ref="A20:AI67"/>
  <sheetViews>
    <sheetView showGridLines="0" topLeftCell="A37" zoomScale="70" zoomScaleNormal="70" workbookViewId="0">
      <selection activeCell="J60" sqref="J60"/>
    </sheetView>
  </sheetViews>
  <sheetFormatPr defaultColWidth="9" defaultRowHeight="14.4"/>
  <cols>
    <col min="1" max="1" width="9.33203125" customWidth="1"/>
    <col min="4" max="4" width="10" customWidth="1"/>
    <col min="5" max="10" width="11.5546875" customWidth="1"/>
    <col min="11" max="11" width="14.6640625" customWidth="1"/>
    <col min="12" max="34" width="11.5546875" customWidth="1"/>
    <col min="35" max="35" width="11.6640625" customWidth="1"/>
  </cols>
  <sheetData>
    <row r="20" spans="3:14">
      <c r="C20">
        <v>20</v>
      </c>
      <c r="D20">
        <v>1</v>
      </c>
      <c r="E20">
        <v>15</v>
      </c>
      <c r="F20">
        <v>3</v>
      </c>
      <c r="G20">
        <v>2</v>
      </c>
      <c r="H20">
        <v>1</v>
      </c>
      <c r="I20">
        <v>5</v>
      </c>
      <c r="J20">
        <v>20</v>
      </c>
      <c r="K20">
        <v>1</v>
      </c>
      <c r="L20">
        <v>14</v>
      </c>
      <c r="M20">
        <v>3</v>
      </c>
      <c r="N20">
        <v>2</v>
      </c>
    </row>
    <row r="48" spans="2:34"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</row>
    <row r="49" spans="1:35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</row>
    <row r="50" spans="1:35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</row>
    <row r="51" spans="1:35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</row>
    <row r="52" spans="1:35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</row>
    <row r="53" spans="1:35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</row>
    <row r="54" spans="1:35">
      <c r="A54" s="271"/>
      <c r="B54" s="271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272"/>
      <c r="AC54" s="272"/>
      <c r="AD54" s="272"/>
      <c r="AE54" s="272"/>
      <c r="AF54" s="272"/>
      <c r="AG54" s="272"/>
      <c r="AH54" s="271"/>
    </row>
    <row r="55" spans="1:35" s="175" customFormat="1">
      <c r="A55" s="271"/>
      <c r="B55" s="271"/>
      <c r="C55" s="272"/>
      <c r="D55" s="273">
        <v>1</v>
      </c>
      <c r="E55" s="273">
        <v>2</v>
      </c>
      <c r="F55" s="273">
        <v>3</v>
      </c>
      <c r="G55" s="273">
        <v>4</v>
      </c>
      <c r="H55" s="273">
        <v>5</v>
      </c>
      <c r="I55" s="273">
        <v>6</v>
      </c>
      <c r="J55" s="273">
        <v>7</v>
      </c>
      <c r="K55" s="273">
        <v>8</v>
      </c>
      <c r="L55" s="273">
        <v>9</v>
      </c>
      <c r="M55" s="273">
        <v>10</v>
      </c>
      <c r="N55" s="273">
        <v>11</v>
      </c>
      <c r="O55" s="273">
        <v>12</v>
      </c>
      <c r="P55" s="273">
        <v>13</v>
      </c>
      <c r="Q55" s="273">
        <v>14</v>
      </c>
      <c r="R55" s="273">
        <v>15</v>
      </c>
      <c r="S55" s="273">
        <v>16</v>
      </c>
      <c r="T55" s="273">
        <v>17</v>
      </c>
      <c r="U55" s="273">
        <v>18</v>
      </c>
      <c r="V55" s="273">
        <v>19</v>
      </c>
      <c r="W55" s="273">
        <v>20</v>
      </c>
      <c r="X55" s="273">
        <v>21</v>
      </c>
      <c r="Y55" s="273">
        <v>22</v>
      </c>
      <c r="Z55" s="273">
        <v>23</v>
      </c>
      <c r="AA55" s="273">
        <v>24</v>
      </c>
      <c r="AB55" s="273">
        <v>25</v>
      </c>
      <c r="AC55" s="273">
        <v>26</v>
      </c>
      <c r="AD55" s="273">
        <v>27</v>
      </c>
      <c r="AE55" s="273">
        <v>28</v>
      </c>
      <c r="AF55" s="273">
        <v>29</v>
      </c>
      <c r="AG55" s="273">
        <v>30</v>
      </c>
      <c r="AH55" s="273">
        <v>31</v>
      </c>
      <c r="AI55"/>
    </row>
    <row r="56" spans="1:35" s="175" customFormat="1">
      <c r="A56" s="271"/>
      <c r="B56" s="271"/>
      <c r="C56" s="272" t="s">
        <v>297</v>
      </c>
      <c r="D56" s="274">
        <f>$K$66/31</f>
        <v>0</v>
      </c>
      <c r="E56" s="274">
        <f>D56</f>
        <v>0</v>
      </c>
      <c r="F56" s="274">
        <f t="shared" ref="F56:AH56" si="0">E56</f>
        <v>0</v>
      </c>
      <c r="G56" s="274">
        <f t="shared" si="0"/>
        <v>0</v>
      </c>
      <c r="H56" s="274">
        <f t="shared" si="0"/>
        <v>0</v>
      </c>
      <c r="I56" s="274">
        <f t="shared" si="0"/>
        <v>0</v>
      </c>
      <c r="J56" s="274">
        <f t="shared" si="0"/>
        <v>0</v>
      </c>
      <c r="K56" s="274">
        <f t="shared" si="0"/>
        <v>0</v>
      </c>
      <c r="L56" s="274">
        <f t="shared" si="0"/>
        <v>0</v>
      </c>
      <c r="M56" s="274">
        <f t="shared" si="0"/>
        <v>0</v>
      </c>
      <c r="N56" s="274">
        <f t="shared" si="0"/>
        <v>0</v>
      </c>
      <c r="O56" s="274">
        <f t="shared" si="0"/>
        <v>0</v>
      </c>
      <c r="P56" s="274">
        <f t="shared" si="0"/>
        <v>0</v>
      </c>
      <c r="Q56" s="274">
        <f t="shared" si="0"/>
        <v>0</v>
      </c>
      <c r="R56" s="274">
        <f t="shared" si="0"/>
        <v>0</v>
      </c>
      <c r="S56" s="274">
        <f t="shared" si="0"/>
        <v>0</v>
      </c>
      <c r="T56" s="274">
        <f t="shared" si="0"/>
        <v>0</v>
      </c>
      <c r="U56" s="274">
        <f t="shared" si="0"/>
        <v>0</v>
      </c>
      <c r="V56" s="274">
        <f t="shared" si="0"/>
        <v>0</v>
      </c>
      <c r="W56" s="274">
        <f t="shared" si="0"/>
        <v>0</v>
      </c>
      <c r="X56" s="274">
        <f t="shared" si="0"/>
        <v>0</v>
      </c>
      <c r="Y56" s="274">
        <f t="shared" si="0"/>
        <v>0</v>
      </c>
      <c r="Z56" s="274">
        <f t="shared" si="0"/>
        <v>0</v>
      </c>
      <c r="AA56" s="274">
        <f t="shared" si="0"/>
        <v>0</v>
      </c>
      <c r="AB56" s="274">
        <f t="shared" si="0"/>
        <v>0</v>
      </c>
      <c r="AC56" s="274">
        <f t="shared" si="0"/>
        <v>0</v>
      </c>
      <c r="AD56" s="274">
        <f t="shared" si="0"/>
        <v>0</v>
      </c>
      <c r="AE56" s="274">
        <f t="shared" si="0"/>
        <v>0</v>
      </c>
      <c r="AF56" s="274">
        <f t="shared" si="0"/>
        <v>0</v>
      </c>
      <c r="AG56" s="274">
        <f t="shared" si="0"/>
        <v>0</v>
      </c>
      <c r="AH56" s="274">
        <f t="shared" si="0"/>
        <v>0</v>
      </c>
      <c r="AI56" s="273">
        <f>SUM(D56:AH56)</f>
        <v>0</v>
      </c>
    </row>
    <row r="57" spans="1:35" s="175" customFormat="1">
      <c r="A57" s="271"/>
      <c r="B57" s="271"/>
      <c r="C57" s="272" t="s">
        <v>298</v>
      </c>
      <c r="D57" s="274">
        <f>$K$67/31</f>
        <v>0</v>
      </c>
      <c r="E57" s="274">
        <f>D57</f>
        <v>0</v>
      </c>
      <c r="F57" s="274">
        <f t="shared" ref="F57:AH57" si="1">E57</f>
        <v>0</v>
      </c>
      <c r="G57" s="274">
        <f t="shared" si="1"/>
        <v>0</v>
      </c>
      <c r="H57" s="274">
        <f t="shared" si="1"/>
        <v>0</v>
      </c>
      <c r="I57" s="274">
        <f t="shared" si="1"/>
        <v>0</v>
      </c>
      <c r="J57" s="274">
        <f t="shared" si="1"/>
        <v>0</v>
      </c>
      <c r="K57" s="274">
        <f t="shared" si="1"/>
        <v>0</v>
      </c>
      <c r="L57" s="274">
        <f t="shared" si="1"/>
        <v>0</v>
      </c>
      <c r="M57" s="274">
        <f t="shared" si="1"/>
        <v>0</v>
      </c>
      <c r="N57" s="274">
        <f t="shared" si="1"/>
        <v>0</v>
      </c>
      <c r="O57" s="274">
        <f t="shared" si="1"/>
        <v>0</v>
      </c>
      <c r="P57" s="274">
        <f t="shared" si="1"/>
        <v>0</v>
      </c>
      <c r="Q57" s="274">
        <f t="shared" si="1"/>
        <v>0</v>
      </c>
      <c r="R57" s="274">
        <f t="shared" si="1"/>
        <v>0</v>
      </c>
      <c r="S57" s="274">
        <f t="shared" si="1"/>
        <v>0</v>
      </c>
      <c r="T57" s="274">
        <f t="shared" si="1"/>
        <v>0</v>
      </c>
      <c r="U57" s="274">
        <f t="shared" si="1"/>
        <v>0</v>
      </c>
      <c r="V57" s="274">
        <f t="shared" si="1"/>
        <v>0</v>
      </c>
      <c r="W57" s="274">
        <f t="shared" si="1"/>
        <v>0</v>
      </c>
      <c r="X57" s="274">
        <f t="shared" si="1"/>
        <v>0</v>
      </c>
      <c r="Y57" s="274">
        <f t="shared" si="1"/>
        <v>0</v>
      </c>
      <c r="Z57" s="274">
        <f t="shared" si="1"/>
        <v>0</v>
      </c>
      <c r="AA57" s="274">
        <f t="shared" si="1"/>
        <v>0</v>
      </c>
      <c r="AB57" s="274">
        <f t="shared" si="1"/>
        <v>0</v>
      </c>
      <c r="AC57" s="274">
        <f t="shared" si="1"/>
        <v>0</v>
      </c>
      <c r="AD57" s="274">
        <f t="shared" si="1"/>
        <v>0</v>
      </c>
      <c r="AE57" s="274">
        <f t="shared" si="1"/>
        <v>0</v>
      </c>
      <c r="AF57" s="274">
        <f t="shared" si="1"/>
        <v>0</v>
      </c>
      <c r="AG57" s="274">
        <f t="shared" si="1"/>
        <v>0</v>
      </c>
      <c r="AH57" s="274">
        <f t="shared" si="1"/>
        <v>0</v>
      </c>
      <c r="AI57" s="273">
        <f>SUM(D57:AH57)</f>
        <v>0</v>
      </c>
    </row>
    <row r="58" spans="1:35">
      <c r="A58" s="271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</row>
    <row r="59" spans="1:35">
      <c r="A59" s="271"/>
      <c r="B59" s="271"/>
      <c r="C59" s="271"/>
      <c r="D59" s="271"/>
      <c r="E59" s="271"/>
      <c r="F59" s="271"/>
      <c r="G59" s="271"/>
      <c r="H59" s="271"/>
      <c r="I59" s="271" t="s">
        <v>6</v>
      </c>
      <c r="J59" s="276">
        <f>SUM(D56:J56)</f>
        <v>0</v>
      </c>
      <c r="K59" s="277">
        <f>(K66-J62)/24</f>
        <v>-358.3125</v>
      </c>
      <c r="L59" s="271"/>
      <c r="M59" s="271"/>
      <c r="N59" s="271"/>
      <c r="O59" s="271"/>
      <c r="P59" s="271"/>
      <c r="Q59" s="276">
        <f>SUM(D56:Q56)</f>
        <v>0</v>
      </c>
      <c r="R59" s="277">
        <f>(K66-Q62)/17</f>
        <v>-505.85294117647061</v>
      </c>
      <c r="S59" s="271"/>
      <c r="T59" s="271"/>
      <c r="U59" s="271"/>
      <c r="V59" s="271"/>
      <c r="W59" s="271"/>
      <c r="X59" s="277">
        <f>SUM(D56:X56)</f>
        <v>0</v>
      </c>
      <c r="Y59" s="277">
        <f>(K66-X62)/10</f>
        <v>-859.95</v>
      </c>
      <c r="Z59" s="271"/>
      <c r="AA59" s="271"/>
      <c r="AB59" s="271"/>
      <c r="AC59" s="271"/>
      <c r="AD59" s="271"/>
      <c r="AE59" s="277">
        <f>SUM(K56:AE56)</f>
        <v>0</v>
      </c>
      <c r="AF59" s="277">
        <f>(K66-AE62)/3</f>
        <v>-2866.5</v>
      </c>
      <c r="AG59" s="271"/>
      <c r="AH59" s="271"/>
    </row>
    <row r="60" spans="1:35">
      <c r="A60" s="271"/>
      <c r="B60" s="271"/>
      <c r="C60" s="271"/>
      <c r="D60" s="271"/>
      <c r="E60" s="271"/>
      <c r="F60" s="271"/>
      <c r="G60" s="271"/>
      <c r="H60" s="271"/>
      <c r="I60" s="271"/>
      <c r="J60" s="276">
        <f>SUM(D57:J57)</f>
        <v>0</v>
      </c>
      <c r="K60" s="277">
        <f>(K67-J63)/24</f>
        <v>0</v>
      </c>
      <c r="L60" s="271"/>
      <c r="M60" s="271"/>
      <c r="N60" s="271"/>
      <c r="O60" s="271"/>
      <c r="P60" s="271"/>
      <c r="Q60" s="276">
        <f>SUM(D57:Q57)</f>
        <v>0</v>
      </c>
      <c r="R60" s="277">
        <f>(K67-Q63)/17</f>
        <v>0</v>
      </c>
      <c r="S60" s="271"/>
      <c r="T60" s="271"/>
      <c r="U60" s="271"/>
      <c r="V60" s="271"/>
      <c r="W60" s="271"/>
      <c r="X60" s="277">
        <f>SUM(D57:X57)</f>
        <v>0</v>
      </c>
      <c r="Y60" s="277">
        <f>(K67-X63)/10</f>
        <v>0</v>
      </c>
      <c r="Z60" s="271"/>
      <c r="AA60" s="271"/>
      <c r="AB60" s="271"/>
      <c r="AC60" s="271"/>
      <c r="AD60" s="271"/>
      <c r="AE60" s="277">
        <f>SUM(K57:AE57)</f>
        <v>0</v>
      </c>
      <c r="AF60" s="277">
        <f>(K67-AE63)/3</f>
        <v>0</v>
      </c>
      <c r="AG60" s="271"/>
      <c r="AH60" s="271"/>
    </row>
    <row r="61" spans="1:35"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</row>
    <row r="62" spans="1:35">
      <c r="I62" t="s">
        <v>32</v>
      </c>
      <c r="J62" s="277">
        <f>SUM(Actual!F223:L223)</f>
        <v>8599.5</v>
      </c>
      <c r="Q62" s="276">
        <f>SUM(Actual!F223:S223)</f>
        <v>8599.5</v>
      </c>
      <c r="X62" s="276">
        <f>SUM(Actual!F223:Z223)</f>
        <v>8599.5</v>
      </c>
      <c r="AE62" s="276">
        <f>SUM(Actual!F223:AG223)</f>
        <v>8599.5</v>
      </c>
    </row>
    <row r="63" spans="1:35">
      <c r="J63" s="277">
        <f>SUM(Actual!F224:L224)</f>
        <v>0</v>
      </c>
      <c r="Q63" s="276">
        <f>SUM(Actual!F224:S224)</f>
        <v>0</v>
      </c>
      <c r="X63" s="276">
        <f>SUM(Actual!F224:Z224)</f>
        <v>0</v>
      </c>
      <c r="AE63" s="276">
        <f>SUM(Actual!F224:AG224)</f>
        <v>0</v>
      </c>
    </row>
    <row r="66" spans="11:13">
      <c r="K66" s="278">
        <v>0</v>
      </c>
      <c r="L66" s="276">
        <f>K66-J62</f>
        <v>-8599.5</v>
      </c>
      <c r="M66" s="276"/>
    </row>
    <row r="67" spans="11:13">
      <c r="K67" s="278">
        <v>0</v>
      </c>
      <c r="L67" s="276">
        <f>K67-J63</f>
        <v>0</v>
      </c>
    </row>
  </sheetData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CC"/>
  </sheetPr>
  <dimension ref="B2:S30"/>
  <sheetViews>
    <sheetView showGridLines="0" zoomScale="80" zoomScaleNormal="80" workbookViewId="0">
      <selection activeCell="D8" sqref="D8:I8"/>
    </sheetView>
  </sheetViews>
  <sheetFormatPr defaultColWidth="9" defaultRowHeight="14.4"/>
  <cols>
    <col min="2" max="2" width="10.6640625" customWidth="1"/>
    <col min="3" max="3" width="15.33203125" customWidth="1"/>
    <col min="4" max="9" width="11.44140625" customWidth="1"/>
    <col min="10" max="10" width="11.109375" customWidth="1"/>
    <col min="11" max="11" width="10.5546875" customWidth="1"/>
    <col min="12" max="12" width="15" customWidth="1"/>
    <col min="13" max="18" width="11.44140625" customWidth="1"/>
  </cols>
  <sheetData>
    <row r="2" spans="2:19" ht="18" customHeight="1">
      <c r="B2" s="1085" t="s">
        <v>299</v>
      </c>
      <c r="C2" s="1087" t="s">
        <v>300</v>
      </c>
      <c r="D2" s="1080" t="s">
        <v>301</v>
      </c>
      <c r="E2" s="1081"/>
      <c r="F2" s="1081"/>
      <c r="G2" s="1081"/>
      <c r="H2" s="1081"/>
      <c r="I2" s="1081"/>
      <c r="K2" s="1090" t="s">
        <v>302</v>
      </c>
      <c r="L2" s="1091"/>
      <c r="M2" s="1082" t="s">
        <v>301</v>
      </c>
      <c r="N2" s="1083"/>
      <c r="O2" s="1083"/>
      <c r="P2" s="1083"/>
      <c r="Q2" s="1083"/>
      <c r="R2" s="1084"/>
    </row>
    <row r="3" spans="2:19" ht="18.75" customHeight="1">
      <c r="B3" s="1086"/>
      <c r="C3" s="1088"/>
      <c r="D3" s="244" t="s">
        <v>303</v>
      </c>
      <c r="E3" s="245" t="s">
        <v>304</v>
      </c>
      <c r="F3" s="245" t="s">
        <v>305</v>
      </c>
      <c r="G3" s="245" t="s">
        <v>306</v>
      </c>
      <c r="H3" s="246" t="s">
        <v>307</v>
      </c>
      <c r="I3" s="246" t="s">
        <v>308</v>
      </c>
      <c r="K3" s="1092"/>
      <c r="L3" s="1093"/>
      <c r="M3" s="244" t="s">
        <v>303</v>
      </c>
      <c r="N3" s="245" t="s">
        <v>304</v>
      </c>
      <c r="O3" s="245" t="s">
        <v>305</v>
      </c>
      <c r="P3" s="245" t="s">
        <v>306</v>
      </c>
      <c r="Q3" s="246" t="s">
        <v>307</v>
      </c>
      <c r="R3" s="246" t="s">
        <v>308</v>
      </c>
    </row>
    <row r="4" spans="2:19">
      <c r="B4" s="247" t="s">
        <v>309</v>
      </c>
      <c r="C4" s="248">
        <v>0</v>
      </c>
      <c r="D4" s="249">
        <v>36.119999999999997</v>
      </c>
      <c r="E4" s="249">
        <v>17.27</v>
      </c>
      <c r="F4" s="249">
        <v>5.51</v>
      </c>
      <c r="G4" s="249">
        <v>0.19</v>
      </c>
      <c r="H4" s="250">
        <v>5160</v>
      </c>
      <c r="I4" s="250">
        <v>3984.2959023328899</v>
      </c>
      <c r="K4" s="265" t="s">
        <v>310</v>
      </c>
      <c r="L4" s="266">
        <v>0</v>
      </c>
      <c r="M4" s="249">
        <v>34.450000000000003</v>
      </c>
      <c r="N4" s="249">
        <v>18.7</v>
      </c>
      <c r="O4" s="249">
        <v>2.73</v>
      </c>
      <c r="P4" s="249">
        <v>2.16</v>
      </c>
      <c r="Q4" s="250">
        <v>5629</v>
      </c>
      <c r="R4" s="250">
        <v>4538.5110701106996</v>
      </c>
    </row>
    <row r="5" spans="2:19">
      <c r="B5" s="251" t="s">
        <v>311</v>
      </c>
      <c r="C5" s="252">
        <v>0</v>
      </c>
      <c r="D5" s="253"/>
      <c r="E5" s="253"/>
      <c r="F5" s="253"/>
      <c r="G5" s="253"/>
      <c r="H5" s="254"/>
      <c r="I5" s="254"/>
      <c r="K5" s="265" t="s">
        <v>312</v>
      </c>
      <c r="L5" s="253">
        <v>0</v>
      </c>
      <c r="M5" s="249">
        <v>38.119999999999997</v>
      </c>
      <c r="N5" s="249">
        <v>20.329999999999998</v>
      </c>
      <c r="O5" s="249">
        <v>1.97</v>
      </c>
      <c r="P5" s="249">
        <v>0.21</v>
      </c>
      <c r="Q5" s="250">
        <v>5080</v>
      </c>
      <c r="R5" s="250">
        <v>3945.6558302999902</v>
      </c>
    </row>
    <row r="6" spans="2:19">
      <c r="B6" s="251" t="s">
        <v>313</v>
      </c>
      <c r="C6" s="255"/>
      <c r="D6" s="253"/>
      <c r="E6" s="253"/>
      <c r="F6" s="253"/>
      <c r="G6" s="253"/>
      <c r="H6" s="254"/>
      <c r="I6" s="254"/>
      <c r="J6" s="181"/>
      <c r="K6" s="181"/>
      <c r="L6" s="181"/>
      <c r="M6" s="181"/>
      <c r="N6" s="181"/>
      <c r="O6" s="181"/>
      <c r="P6" s="181"/>
      <c r="Q6" s="181"/>
      <c r="R6" s="181"/>
    </row>
    <row r="7" spans="2:19">
      <c r="B7" s="251" t="s">
        <v>314</v>
      </c>
      <c r="C7" s="255"/>
      <c r="D7" s="253"/>
      <c r="E7" s="253"/>
      <c r="F7" s="253"/>
      <c r="G7" s="253"/>
      <c r="H7" s="254"/>
      <c r="I7" s="254"/>
      <c r="J7" s="181"/>
      <c r="K7" s="267" t="s">
        <v>110</v>
      </c>
      <c r="L7" s="268">
        <f>SUM(L2:L6)</f>
        <v>0</v>
      </c>
      <c r="M7" s="259" t="e">
        <f t="shared" ref="M7:R7" si="0">SUMPRODUCT($L$4:$L$5,M4:M5)/$L$7</f>
        <v>#DIV/0!</v>
      </c>
      <c r="N7" s="259" t="e">
        <f t="shared" si="0"/>
        <v>#DIV/0!</v>
      </c>
      <c r="O7" s="259" t="e">
        <f t="shared" si="0"/>
        <v>#DIV/0!</v>
      </c>
      <c r="P7" s="259" t="e">
        <f t="shared" si="0"/>
        <v>#DIV/0!</v>
      </c>
      <c r="Q7" s="259" t="e">
        <f t="shared" si="0"/>
        <v>#DIV/0!</v>
      </c>
      <c r="R7" s="259" t="e">
        <f t="shared" si="0"/>
        <v>#DIV/0!</v>
      </c>
    </row>
    <row r="8" spans="2:19">
      <c r="B8" s="251" t="s">
        <v>315</v>
      </c>
      <c r="C8" s="254">
        <v>1370.3389999999999</v>
      </c>
      <c r="D8" s="256">
        <v>36.81</v>
      </c>
      <c r="E8" s="256">
        <v>16.920000000000002</v>
      </c>
      <c r="F8" s="256">
        <v>5.77</v>
      </c>
      <c r="G8" s="256">
        <v>0.2</v>
      </c>
      <c r="H8" s="257">
        <v>5170</v>
      </c>
      <c r="I8" s="257">
        <v>3934</v>
      </c>
      <c r="J8" s="181"/>
      <c r="M8" s="181"/>
      <c r="N8" s="181"/>
      <c r="O8" s="181"/>
      <c r="P8" s="181"/>
      <c r="Q8" s="181"/>
      <c r="R8" s="181"/>
      <c r="S8" s="181"/>
    </row>
    <row r="9" spans="2:19" ht="15.6">
      <c r="D9" s="181"/>
      <c r="E9" s="181"/>
      <c r="F9" s="181"/>
      <c r="G9" s="181"/>
      <c r="H9" s="181"/>
      <c r="I9" s="181"/>
      <c r="J9" s="181"/>
      <c r="K9" s="181"/>
      <c r="L9" s="269"/>
      <c r="M9" s="181"/>
      <c r="N9" s="181"/>
      <c r="O9" s="181"/>
      <c r="P9" s="181"/>
      <c r="Q9" s="181"/>
      <c r="R9" s="181"/>
      <c r="S9" s="181"/>
    </row>
    <row r="10" spans="2:19" ht="22.5" customHeight="1">
      <c r="B10" s="258" t="s">
        <v>110</v>
      </c>
      <c r="C10" s="259">
        <f>SUM(C4:C8)</f>
        <v>1370.3389999999999</v>
      </c>
      <c r="D10" s="259">
        <f t="shared" ref="D10:I10" si="1">SUMPRODUCT($C$4:$C$8,D4:D8)/$C$10</f>
        <v>36.81</v>
      </c>
      <c r="E10" s="259">
        <f t="shared" si="1"/>
        <v>16.920000000000002</v>
      </c>
      <c r="F10" s="259">
        <f t="shared" si="1"/>
        <v>5.77</v>
      </c>
      <c r="G10" s="259">
        <f t="shared" si="1"/>
        <v>0.2</v>
      </c>
      <c r="H10" s="259">
        <f t="shared" si="1"/>
        <v>5170</v>
      </c>
      <c r="I10" s="270">
        <f t="shared" si="1"/>
        <v>3934</v>
      </c>
      <c r="J10" s="181"/>
      <c r="K10" s="181"/>
      <c r="L10" s="269"/>
      <c r="M10" s="181"/>
      <c r="N10" s="181"/>
      <c r="O10" s="181"/>
      <c r="P10" s="181"/>
      <c r="Q10" s="181"/>
      <c r="R10" s="181"/>
      <c r="S10" s="181"/>
    </row>
    <row r="11" spans="2:19" ht="15.6">
      <c r="E11" s="260"/>
      <c r="F11" s="260"/>
      <c r="G11" s="260"/>
      <c r="H11" s="181"/>
      <c r="I11" s="181"/>
      <c r="J11" s="181"/>
      <c r="K11" s="181"/>
      <c r="L11" s="269"/>
      <c r="M11" s="181"/>
      <c r="N11" s="181"/>
      <c r="O11" s="181"/>
      <c r="P11" s="181"/>
      <c r="Q11" s="181"/>
      <c r="R11" s="181"/>
      <c r="S11" s="181"/>
    </row>
    <row r="12" spans="2:19" ht="15.6">
      <c r="C12" s="181"/>
      <c r="D12" s="181"/>
      <c r="J12" s="181"/>
      <c r="K12" s="181"/>
      <c r="L12" s="269"/>
      <c r="M12" s="181"/>
      <c r="N12" s="181"/>
      <c r="O12" s="181"/>
      <c r="P12" s="181"/>
      <c r="Q12" s="181"/>
      <c r="R12" s="181"/>
      <c r="S12" s="181"/>
    </row>
    <row r="13" spans="2:19" ht="15.6">
      <c r="C13" s="260"/>
      <c r="D13" s="181"/>
      <c r="E13" s="181"/>
      <c r="G13" s="261"/>
      <c r="H13" s="181"/>
      <c r="I13" s="181"/>
      <c r="J13" s="181"/>
      <c r="K13" s="181"/>
      <c r="L13" s="269"/>
      <c r="M13" s="181"/>
      <c r="N13" s="181"/>
      <c r="O13" s="181"/>
      <c r="P13" s="181"/>
      <c r="Q13" s="181"/>
      <c r="R13" s="181"/>
      <c r="S13" s="181"/>
    </row>
    <row r="14" spans="2:19" ht="15.6" hidden="1">
      <c r="B14" s="1089"/>
      <c r="C14" s="1089"/>
      <c r="E14" s="181"/>
      <c r="F14" s="181"/>
      <c r="G14" s="260"/>
      <c r="H14" s="181"/>
      <c r="I14" s="181"/>
      <c r="J14" s="181"/>
      <c r="K14" s="181"/>
      <c r="L14" s="269"/>
      <c r="M14" s="181"/>
      <c r="N14" s="181"/>
      <c r="O14" s="181"/>
      <c r="P14" s="181"/>
      <c r="Q14" s="181"/>
      <c r="R14" s="181"/>
      <c r="S14" s="181"/>
    </row>
    <row r="15" spans="2:19" ht="15.6" hidden="1">
      <c r="B15" s="1089"/>
      <c r="C15" s="1089"/>
      <c r="D15" s="181"/>
      <c r="F15" s="181"/>
      <c r="G15" s="181"/>
      <c r="H15" s="181"/>
      <c r="I15" s="181"/>
      <c r="J15" s="181"/>
      <c r="K15" s="181"/>
      <c r="L15" s="269"/>
      <c r="M15" s="181"/>
      <c r="N15" s="181"/>
      <c r="O15" s="181"/>
      <c r="P15" s="181"/>
      <c r="Q15" s="181"/>
      <c r="R15" s="181"/>
      <c r="S15" s="181"/>
    </row>
    <row r="16" spans="2:19" ht="15.6" hidden="1">
      <c r="C16" s="262"/>
      <c r="D16" s="181"/>
      <c r="E16" s="181"/>
      <c r="F16" s="181"/>
      <c r="G16" s="181"/>
      <c r="H16" s="181"/>
      <c r="I16" s="181"/>
      <c r="J16" s="181"/>
      <c r="K16" s="181"/>
      <c r="L16" s="269"/>
      <c r="M16" s="181"/>
      <c r="N16" s="181"/>
      <c r="O16" s="181"/>
      <c r="P16" s="181"/>
      <c r="Q16" s="181"/>
      <c r="R16" s="181"/>
      <c r="S16" s="181"/>
    </row>
    <row r="17" spans="2:19" ht="15.6" hidden="1">
      <c r="B17" s="260"/>
      <c r="C17" s="260"/>
      <c r="G17" s="181"/>
      <c r="H17" s="181"/>
      <c r="I17" s="181"/>
      <c r="J17" s="181"/>
      <c r="K17" s="181"/>
      <c r="L17" s="269"/>
      <c r="M17" s="181"/>
      <c r="N17" s="181"/>
      <c r="O17" s="181"/>
      <c r="P17" s="181"/>
      <c r="Q17" s="181"/>
      <c r="R17" s="181"/>
      <c r="S17" s="181"/>
    </row>
    <row r="18" spans="2:19" ht="15.6" hidden="1">
      <c r="B18" s="263"/>
      <c r="C18" s="264"/>
      <c r="G18" s="181"/>
      <c r="H18" s="181"/>
      <c r="I18" s="181"/>
      <c r="J18" s="181"/>
      <c r="K18" s="181"/>
      <c r="L18" s="269"/>
      <c r="M18" s="181"/>
      <c r="N18" s="181"/>
      <c r="O18" s="181"/>
      <c r="P18" s="181"/>
      <c r="Q18" s="181"/>
      <c r="R18" s="181"/>
      <c r="S18" s="181"/>
    </row>
    <row r="19" spans="2:19" ht="15.6">
      <c r="C19" s="260"/>
      <c r="G19" s="181"/>
      <c r="H19" s="181"/>
      <c r="I19" s="181"/>
      <c r="J19" s="181"/>
      <c r="K19" s="181"/>
      <c r="L19" s="269"/>
      <c r="M19" s="181"/>
      <c r="N19" s="181"/>
      <c r="O19" s="181"/>
      <c r="P19" s="181"/>
      <c r="Q19" s="181"/>
      <c r="R19" s="181"/>
      <c r="S19" s="181"/>
    </row>
    <row r="20" spans="2:19">
      <c r="C20" s="260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</row>
    <row r="21" spans="2:19" ht="14.7" customHeight="1">
      <c r="B21" s="1089"/>
      <c r="C21" s="1089"/>
      <c r="E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ht="14.7" customHeight="1">
      <c r="B22" s="1089"/>
      <c r="C22" s="1089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>
      <c r="C23" s="262"/>
      <c r="F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</row>
    <row r="24" spans="2:19">
      <c r="B24" s="260"/>
      <c r="C24" s="260"/>
      <c r="J24" s="181"/>
      <c r="K24" s="181"/>
      <c r="L24" s="181"/>
      <c r="M24" s="181"/>
      <c r="N24" s="181"/>
      <c r="O24" s="181"/>
      <c r="P24" s="181"/>
      <c r="Q24" s="181"/>
      <c r="R24" s="181"/>
      <c r="S24" s="181"/>
    </row>
    <row r="25" spans="2:19">
      <c r="B25" s="263"/>
      <c r="C25" s="264"/>
      <c r="J25" s="181"/>
      <c r="K25" s="181"/>
      <c r="L25" s="181"/>
      <c r="M25" s="181"/>
      <c r="N25" s="181"/>
      <c r="O25" s="181"/>
      <c r="P25" s="181"/>
      <c r="Q25" s="181"/>
      <c r="R25" s="181"/>
      <c r="S25" s="181"/>
    </row>
    <row r="26" spans="2:19">
      <c r="C26" s="260"/>
      <c r="G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</row>
    <row r="27" spans="2:19">
      <c r="C27" s="260"/>
      <c r="I27" s="181"/>
      <c r="J27" s="181"/>
      <c r="K27" s="181"/>
      <c r="L27" s="181"/>
      <c r="M27" s="181"/>
      <c r="N27" s="181"/>
      <c r="O27" s="181"/>
      <c r="P27" s="181"/>
      <c r="Q27" s="181"/>
      <c r="R27" s="181"/>
    </row>
    <row r="28" spans="2:19">
      <c r="C28" s="260"/>
      <c r="J28" s="181"/>
      <c r="K28" s="181"/>
      <c r="L28" s="181"/>
      <c r="M28" s="181"/>
      <c r="N28" s="181"/>
      <c r="O28" s="181"/>
      <c r="P28" s="181"/>
      <c r="Q28" s="181"/>
      <c r="R28" s="181"/>
    </row>
    <row r="29" spans="2:19">
      <c r="C29" s="260"/>
      <c r="J29" s="181"/>
      <c r="K29" s="181"/>
      <c r="L29" s="181"/>
      <c r="M29" s="181"/>
      <c r="N29" s="181"/>
      <c r="O29" s="181"/>
      <c r="P29" s="181"/>
      <c r="Q29" s="181"/>
      <c r="R29" s="181"/>
    </row>
    <row r="30" spans="2:19">
      <c r="C30" s="260"/>
    </row>
  </sheetData>
  <mergeCells count="7">
    <mergeCell ref="D2:I2"/>
    <mergeCell ref="M2:R2"/>
    <mergeCell ref="B2:B3"/>
    <mergeCell ref="C2:C3"/>
    <mergeCell ref="B21:C22"/>
    <mergeCell ref="B14:C15"/>
    <mergeCell ref="K2:L3"/>
  </mergeCell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tabColor rgb="FFFF9933"/>
    <pageSetUpPr fitToPage="1"/>
  </sheetPr>
  <dimension ref="B1:AL332"/>
  <sheetViews>
    <sheetView zoomScale="80" zoomScaleNormal="80" workbookViewId="0">
      <pane xSplit="4" ySplit="3" topLeftCell="E4" activePane="bottomRight" state="frozen"/>
      <selection pane="topRight"/>
      <selection pane="bottomLeft"/>
      <selection pane="bottomRight" activeCell="O5" sqref="O5:Q5"/>
    </sheetView>
  </sheetViews>
  <sheetFormatPr defaultColWidth="9.33203125" defaultRowHeight="14.4" outlineLevelCol="1"/>
  <cols>
    <col min="1" max="1" width="9.33203125" style="184"/>
    <col min="2" max="2" width="9.44140625" style="184" customWidth="1"/>
    <col min="3" max="3" width="10.33203125" style="184" customWidth="1"/>
    <col min="4" max="4" width="13" style="184" customWidth="1"/>
    <col min="5" max="5" width="13.33203125" style="184" customWidth="1"/>
    <col min="6" max="6" width="12.6640625" style="184" customWidth="1"/>
    <col min="7" max="8" width="12.33203125" style="184" customWidth="1"/>
    <col min="9" max="9" width="13.109375" style="184" customWidth="1"/>
    <col min="10" max="10" width="11.33203125" style="184" customWidth="1"/>
    <col min="11" max="11" width="11.5546875" style="184" customWidth="1"/>
    <col min="12" max="17" width="11.33203125" style="184" customWidth="1"/>
    <col min="18" max="18" width="14.33203125" style="184" customWidth="1"/>
    <col min="19" max="19" width="15" style="184" customWidth="1"/>
    <col min="20" max="20" width="10.33203125" style="184" customWidth="1"/>
    <col min="21" max="21" width="9.33203125" style="184"/>
    <col min="22" max="38" width="9.33203125" style="184" customWidth="1" outlineLevel="1"/>
    <col min="39" max="16384" width="9.33203125" style="184"/>
  </cols>
  <sheetData>
    <row r="1" spans="2:38">
      <c r="M1" s="223"/>
    </row>
    <row r="2" spans="2:38">
      <c r="B2" s="185" t="s">
        <v>316</v>
      </c>
      <c r="C2" s="186"/>
      <c r="D2" s="187"/>
      <c r="E2" s="187"/>
      <c r="F2" s="188" t="s">
        <v>32</v>
      </c>
      <c r="G2" s="188" t="s">
        <v>32</v>
      </c>
      <c r="H2" s="188" t="s">
        <v>32</v>
      </c>
      <c r="I2" s="188" t="s">
        <v>32</v>
      </c>
      <c r="J2" s="188" t="s">
        <v>32</v>
      </c>
      <c r="K2" s="188" t="s">
        <v>32</v>
      </c>
      <c r="L2" s="188" t="s">
        <v>32</v>
      </c>
      <c r="M2" s="188" t="s">
        <v>32</v>
      </c>
      <c r="N2" s="188" t="s">
        <v>8</v>
      </c>
      <c r="O2" s="188" t="s">
        <v>8</v>
      </c>
      <c r="P2" s="188" t="s">
        <v>8</v>
      </c>
      <c r="Q2" s="188" t="s">
        <v>8</v>
      </c>
      <c r="R2" s="233"/>
    </row>
    <row r="3" spans="2:38">
      <c r="B3" s="1104"/>
      <c r="C3" s="1105"/>
      <c r="D3" s="189" t="s">
        <v>240</v>
      </c>
      <c r="E3" s="190" t="s">
        <v>317</v>
      </c>
      <c r="F3" s="191" t="s">
        <v>3</v>
      </c>
      <c r="G3" s="191" t="s">
        <v>241</v>
      </c>
      <c r="H3" s="191" t="s">
        <v>242</v>
      </c>
      <c r="I3" s="191" t="s">
        <v>243</v>
      </c>
      <c r="J3" s="191" t="s">
        <v>244</v>
      </c>
      <c r="K3" s="191" t="s">
        <v>245</v>
      </c>
      <c r="L3" s="191" t="s">
        <v>246</v>
      </c>
      <c r="M3" s="191" t="s">
        <v>247</v>
      </c>
      <c r="N3" s="191" t="s">
        <v>248</v>
      </c>
      <c r="O3" s="191" t="s">
        <v>249</v>
      </c>
      <c r="P3" s="191" t="s">
        <v>250</v>
      </c>
      <c r="Q3" s="191" t="s">
        <v>251</v>
      </c>
      <c r="R3" s="234" t="s">
        <v>110</v>
      </c>
      <c r="T3" s="235"/>
    </row>
    <row r="4" spans="2:38">
      <c r="B4" s="1094" t="s">
        <v>34</v>
      </c>
      <c r="C4" s="1095"/>
      <c r="D4" s="192" t="s">
        <v>35</v>
      </c>
      <c r="E4" s="192"/>
      <c r="F4" s="193">
        <v>0</v>
      </c>
      <c r="G4" s="193">
        <v>0</v>
      </c>
      <c r="H4" s="193">
        <v>0</v>
      </c>
      <c r="I4" s="193">
        <v>0</v>
      </c>
      <c r="J4" s="193">
        <v>0</v>
      </c>
      <c r="K4" s="193">
        <v>0</v>
      </c>
      <c r="L4" s="193">
        <v>0</v>
      </c>
      <c r="M4" s="193">
        <v>0</v>
      </c>
      <c r="N4" s="193">
        <v>0</v>
      </c>
      <c r="O4" s="193">
        <v>446010</v>
      </c>
      <c r="P4" s="193">
        <v>470799.99987444002</v>
      </c>
      <c r="Q4" s="193">
        <v>486160.00019956299</v>
      </c>
      <c r="R4" s="236">
        <f>SUM(F4:Q4)</f>
        <v>1402970.0000740029</v>
      </c>
      <c r="S4" s="221"/>
    </row>
    <row r="5" spans="2:38">
      <c r="B5" s="1094" t="s">
        <v>57</v>
      </c>
      <c r="C5" s="1095"/>
      <c r="D5" s="192" t="s">
        <v>37</v>
      </c>
      <c r="E5" s="192"/>
      <c r="F5" s="193">
        <v>0</v>
      </c>
      <c r="G5" s="193">
        <v>0</v>
      </c>
      <c r="H5" s="193">
        <v>0</v>
      </c>
      <c r="I5" s="193">
        <v>0</v>
      </c>
      <c r="J5" s="193">
        <v>0</v>
      </c>
      <c r="K5" s="193">
        <v>0</v>
      </c>
      <c r="L5" s="193">
        <v>0</v>
      </c>
      <c r="M5" s="193">
        <v>0</v>
      </c>
      <c r="N5" s="193">
        <v>0</v>
      </c>
      <c r="O5" s="193">
        <v>32471</v>
      </c>
      <c r="P5" s="193">
        <v>56166</v>
      </c>
      <c r="Q5" s="193">
        <v>70352</v>
      </c>
      <c r="R5" s="236">
        <f>SUM(F5:Q5)</f>
        <v>158989</v>
      </c>
      <c r="S5" s="221"/>
      <c r="T5" s="229"/>
      <c r="V5" s="1104"/>
      <c r="W5" s="1105"/>
      <c r="X5" s="189" t="s">
        <v>240</v>
      </c>
      <c r="Y5" s="190" t="s">
        <v>317</v>
      </c>
      <c r="Z5" s="191" t="s">
        <v>3</v>
      </c>
      <c r="AA5" s="191" t="s">
        <v>241</v>
      </c>
      <c r="AB5" s="191" t="s">
        <v>242</v>
      </c>
      <c r="AC5" s="191" t="s">
        <v>243</v>
      </c>
      <c r="AD5" s="191" t="s">
        <v>244</v>
      </c>
      <c r="AE5" s="191" t="s">
        <v>245</v>
      </c>
      <c r="AF5" s="191" t="s">
        <v>246</v>
      </c>
      <c r="AG5" s="191" t="s">
        <v>247</v>
      </c>
      <c r="AH5" s="191" t="s">
        <v>248</v>
      </c>
      <c r="AI5" s="191" t="s">
        <v>249</v>
      </c>
      <c r="AJ5" s="191" t="s">
        <v>250</v>
      </c>
      <c r="AK5" s="191" t="s">
        <v>251</v>
      </c>
      <c r="AL5" s="234" t="s">
        <v>110</v>
      </c>
    </row>
    <row r="6" spans="2:38">
      <c r="B6" s="1094" t="s">
        <v>12</v>
      </c>
      <c r="C6" s="1095"/>
      <c r="D6" s="194" t="s">
        <v>39</v>
      </c>
      <c r="E6" s="195"/>
      <c r="F6" s="193" t="str">
        <f>IFERROR(F4/F5,"- ")</f>
        <v xml:space="preserve">- </v>
      </c>
      <c r="G6" s="193" t="str">
        <f t="shared" ref="G6:H6" si="0">IFERROR(G4/G5," - ")</f>
        <v xml:space="preserve"> - </v>
      </c>
      <c r="H6" s="193" t="str">
        <f t="shared" si="0"/>
        <v xml:space="preserve"> - </v>
      </c>
      <c r="I6" s="193" t="str">
        <f>IFERROR(I4/I5," - ")</f>
        <v xml:space="preserve"> - </v>
      </c>
      <c r="J6" s="193" t="str">
        <f t="shared" ref="J6" si="1">IFERROR(J4/J5," - ")</f>
        <v xml:space="preserve"> - </v>
      </c>
      <c r="K6" s="193" t="str">
        <f t="shared" ref="K6" si="2">IFERROR(K4/K5," - ")</f>
        <v xml:space="preserve"> - </v>
      </c>
      <c r="L6" s="193" t="str">
        <f t="shared" ref="L6:M6" si="3">IFERROR(L4/L5," - ")</f>
        <v xml:space="preserve"> - </v>
      </c>
      <c r="M6" s="193" t="str">
        <f t="shared" si="3"/>
        <v xml:space="preserve"> - </v>
      </c>
      <c r="N6" s="193" t="str">
        <f t="shared" ref="N6" si="4">IFERROR(N4/N5," - ")</f>
        <v xml:space="preserve"> - </v>
      </c>
      <c r="O6" s="196">
        <f t="shared" ref="O6" si="5">IFERROR(O4/O5," - ")</f>
        <v>13.735641033537618</v>
      </c>
      <c r="P6" s="196">
        <f t="shared" ref="P6:Q6" si="6">IFERROR(P4/P5," - ")</f>
        <v>8.3822953365815618</v>
      </c>
      <c r="Q6" s="196">
        <f t="shared" si="6"/>
        <v>6.9103934529162352</v>
      </c>
      <c r="R6" s="196">
        <f t="shared" ref="R6" si="7">R4/R5</f>
        <v>8.824321179918126</v>
      </c>
      <c r="S6" s="219"/>
      <c r="V6" s="1094" t="s">
        <v>34</v>
      </c>
      <c r="W6" s="1095"/>
      <c r="X6" s="192" t="s">
        <v>35</v>
      </c>
      <c r="Y6" s="192"/>
      <c r="Z6" s="193">
        <v>0</v>
      </c>
      <c r="AA6" s="193">
        <v>0</v>
      </c>
      <c r="AB6" s="193">
        <v>0</v>
      </c>
      <c r="AC6" s="193">
        <v>385020</v>
      </c>
      <c r="AD6" s="193">
        <v>431760</v>
      </c>
      <c r="AE6" s="193">
        <v>438800</v>
      </c>
      <c r="AF6" s="193">
        <v>397343</v>
      </c>
      <c r="AG6" s="193">
        <v>407685</v>
      </c>
      <c r="AH6" s="193">
        <v>424996</v>
      </c>
      <c r="AI6" s="193">
        <v>373506</v>
      </c>
      <c r="AJ6" s="193">
        <v>275870</v>
      </c>
      <c r="AK6" s="193">
        <v>272787</v>
      </c>
      <c r="AL6" s="236">
        <f>SUM(Z6:AK6)</f>
        <v>3407767</v>
      </c>
    </row>
    <row r="7" spans="2:38">
      <c r="B7" s="1094" t="s">
        <v>172</v>
      </c>
      <c r="C7" s="1095"/>
      <c r="D7" s="192" t="s">
        <v>37</v>
      </c>
      <c r="E7" s="197">
        <v>0</v>
      </c>
      <c r="F7" s="198">
        <v>0</v>
      </c>
      <c r="G7" s="198">
        <v>0</v>
      </c>
      <c r="H7" s="198">
        <v>0</v>
      </c>
      <c r="I7" s="198" t="s">
        <v>318</v>
      </c>
      <c r="J7" s="224">
        <v>0</v>
      </c>
      <c r="K7" s="224">
        <v>0</v>
      </c>
      <c r="L7" s="224">
        <v>0</v>
      </c>
      <c r="M7" s="224">
        <v>351.37</v>
      </c>
      <c r="N7" s="224">
        <v>351.37</v>
      </c>
      <c r="O7" s="224">
        <v>0</v>
      </c>
      <c r="P7" s="224">
        <v>3000</v>
      </c>
      <c r="Q7" s="224">
        <v>2970</v>
      </c>
      <c r="R7" s="237">
        <f>Q7</f>
        <v>2970</v>
      </c>
      <c r="S7" s="219"/>
      <c r="V7" s="1094" t="s">
        <v>57</v>
      </c>
      <c r="W7" s="1095"/>
      <c r="X7" s="192" t="s">
        <v>37</v>
      </c>
      <c r="Y7" s="192"/>
      <c r="Z7" s="193">
        <v>0</v>
      </c>
      <c r="AA7" s="193">
        <v>0</v>
      </c>
      <c r="AB7" s="193">
        <v>0</v>
      </c>
      <c r="AC7" s="193">
        <v>17001</v>
      </c>
      <c r="AD7" s="193">
        <v>47759</v>
      </c>
      <c r="AE7" s="193">
        <v>56990</v>
      </c>
      <c r="AF7" s="193">
        <v>62730</v>
      </c>
      <c r="AG7" s="193">
        <v>65795</v>
      </c>
      <c r="AH7" s="193">
        <v>65645</v>
      </c>
      <c r="AI7" s="193">
        <v>68584</v>
      </c>
      <c r="AJ7" s="193">
        <v>73282</v>
      </c>
      <c r="AK7" s="193">
        <v>82213</v>
      </c>
      <c r="AL7" s="236">
        <f>SUM(Z7:AK7)</f>
        <v>539999</v>
      </c>
    </row>
    <row r="8" spans="2:38">
      <c r="B8" s="1094" t="s">
        <v>41</v>
      </c>
      <c r="C8" s="1095"/>
      <c r="D8" s="192" t="s">
        <v>37</v>
      </c>
      <c r="E8" s="199"/>
      <c r="F8" s="200">
        <v>0</v>
      </c>
      <c r="G8" s="201">
        <v>0</v>
      </c>
      <c r="H8" s="201">
        <v>0</v>
      </c>
      <c r="I8" s="225">
        <v>0</v>
      </c>
      <c r="J8" s="226">
        <v>0</v>
      </c>
      <c r="K8" s="225">
        <v>0</v>
      </c>
      <c r="L8" s="227">
        <v>0</v>
      </c>
      <c r="M8" s="227">
        <v>0</v>
      </c>
      <c r="N8" s="227">
        <v>0</v>
      </c>
      <c r="O8" s="920">
        <v>32471</v>
      </c>
      <c r="P8" s="920">
        <v>53166</v>
      </c>
      <c r="Q8" s="920">
        <v>70352</v>
      </c>
      <c r="R8" s="238">
        <f>SUM(F8:Q8)</f>
        <v>155989</v>
      </c>
      <c r="S8" s="219"/>
      <c r="V8" s="1094" t="s">
        <v>319</v>
      </c>
      <c r="W8" s="1095"/>
      <c r="X8" s="194" t="s">
        <v>320</v>
      </c>
      <c r="Y8" s="195"/>
      <c r="Z8" s="196">
        <v>0</v>
      </c>
      <c r="AA8" s="196">
        <v>0</v>
      </c>
      <c r="AB8" s="196">
        <v>0</v>
      </c>
      <c r="AC8" s="196">
        <f>AC6/AC7</f>
        <v>22.646903123345702</v>
      </c>
      <c r="AD8" s="196">
        <f t="shared" ref="AD8:AL8" si="8">AD6/AD7</f>
        <v>9.0403902929290805</v>
      </c>
      <c r="AE8" s="196">
        <f t="shared" si="8"/>
        <v>7.6995964204246397</v>
      </c>
      <c r="AF8" s="196">
        <f t="shared" si="8"/>
        <v>6.3341782241351803</v>
      </c>
      <c r="AG8" s="196">
        <f t="shared" si="8"/>
        <v>6.1962915115130297</v>
      </c>
      <c r="AH8" s="196">
        <f t="shared" si="8"/>
        <v>6.4741564475588396</v>
      </c>
      <c r="AI8" s="196">
        <f t="shared" si="8"/>
        <v>5.4459640732532399</v>
      </c>
      <c r="AJ8" s="196">
        <f t="shared" si="8"/>
        <v>3.7644987855135001</v>
      </c>
      <c r="AK8" s="196">
        <f t="shared" si="8"/>
        <v>3.3180518896038298</v>
      </c>
      <c r="AL8" s="196">
        <f t="shared" si="8"/>
        <v>6.3106913160950304</v>
      </c>
    </row>
    <row r="9" spans="2:38">
      <c r="B9" s="1098" t="s">
        <v>176</v>
      </c>
      <c r="C9" s="1099"/>
      <c r="D9" s="202" t="s">
        <v>37</v>
      </c>
      <c r="E9" s="197">
        <v>11.7420000000002</v>
      </c>
      <c r="F9" s="203">
        <v>1370</v>
      </c>
      <c r="G9" s="203">
        <v>1370</v>
      </c>
      <c r="H9" s="203">
        <v>1370</v>
      </c>
      <c r="I9" s="198">
        <v>1370</v>
      </c>
      <c r="J9" s="198">
        <v>1370</v>
      </c>
      <c r="K9" s="198">
        <v>1370</v>
      </c>
      <c r="L9" s="198">
        <v>1370</v>
      </c>
      <c r="M9" s="198">
        <v>1370</v>
      </c>
      <c r="N9" s="198">
        <v>1370</v>
      </c>
      <c r="O9" s="203">
        <v>4641</v>
      </c>
      <c r="P9" s="203">
        <v>6660.5899999999965</v>
      </c>
      <c r="Q9" s="203">
        <v>3945.9841000000015</v>
      </c>
      <c r="R9" s="205">
        <f>SUM(F9:Q9)</f>
        <v>27577.574099999998</v>
      </c>
      <c r="S9" s="219"/>
      <c r="T9" s="223"/>
      <c r="V9" s="1094" t="s">
        <v>172</v>
      </c>
      <c r="W9" s="1095"/>
      <c r="X9" s="192" t="s">
        <v>37</v>
      </c>
      <c r="Y9" s="197">
        <v>0</v>
      </c>
      <c r="Z9" s="198">
        <v>0</v>
      </c>
      <c r="AA9" s="198">
        <v>0</v>
      </c>
      <c r="AB9" s="198">
        <v>0</v>
      </c>
      <c r="AC9" s="198" t="s">
        <v>318</v>
      </c>
      <c r="AD9" s="224">
        <v>5758.93</v>
      </c>
      <c r="AE9" s="224">
        <v>11692</v>
      </c>
      <c r="AF9" s="224">
        <v>17305</v>
      </c>
      <c r="AG9" s="224">
        <v>21927</v>
      </c>
      <c r="AH9" s="224">
        <v>12353</v>
      </c>
      <c r="AI9" s="224">
        <v>4813</v>
      </c>
      <c r="AJ9" s="224">
        <v>10047</v>
      </c>
      <c r="AK9" s="224">
        <v>2160</v>
      </c>
      <c r="AL9" s="237">
        <f>AK9</f>
        <v>2160</v>
      </c>
    </row>
    <row r="10" spans="2:38">
      <c r="B10" s="1094" t="s">
        <v>42</v>
      </c>
      <c r="C10" s="1095"/>
      <c r="D10" s="192" t="s">
        <v>37</v>
      </c>
      <c r="E10" s="204"/>
      <c r="F10" s="205">
        <v>0</v>
      </c>
      <c r="G10" s="205">
        <v>0</v>
      </c>
      <c r="H10" s="205">
        <v>0</v>
      </c>
      <c r="I10" s="205">
        <v>0</v>
      </c>
      <c r="J10" s="205">
        <v>0</v>
      </c>
      <c r="K10" s="205">
        <v>0</v>
      </c>
      <c r="L10" s="205">
        <v>0</v>
      </c>
      <c r="M10" s="205">
        <v>0</v>
      </c>
      <c r="N10" s="205">
        <v>0</v>
      </c>
      <c r="O10" s="211">
        <v>29200</v>
      </c>
      <c r="P10" s="211">
        <v>51100</v>
      </c>
      <c r="Q10" s="211">
        <v>73000</v>
      </c>
      <c r="R10" s="205">
        <f>SUM(F10:Q10)</f>
        <v>153300</v>
      </c>
      <c r="S10" s="219"/>
      <c r="T10" s="221"/>
      <c r="V10" s="1094" t="s">
        <v>41</v>
      </c>
      <c r="W10" s="1095"/>
      <c r="X10" s="192" t="s">
        <v>37</v>
      </c>
      <c r="Y10" s="199"/>
      <c r="Z10" s="200">
        <v>0</v>
      </c>
      <c r="AA10" s="201">
        <v>0</v>
      </c>
      <c r="AB10" s="201">
        <v>0</v>
      </c>
      <c r="AC10" s="225">
        <v>17001</v>
      </c>
      <c r="AD10" s="226">
        <v>42000</v>
      </c>
      <c r="AE10" s="225">
        <v>51000</v>
      </c>
      <c r="AF10" s="227">
        <v>57000</v>
      </c>
      <c r="AG10" s="227">
        <v>61000</v>
      </c>
      <c r="AH10" s="227">
        <v>75000</v>
      </c>
      <c r="AI10" s="227">
        <v>76000</v>
      </c>
      <c r="AJ10" s="227">
        <v>68000</v>
      </c>
      <c r="AK10" s="227">
        <v>90000</v>
      </c>
      <c r="AL10" s="238">
        <f>SUM(Z10:AK10)</f>
        <v>537001</v>
      </c>
    </row>
    <row r="11" spans="2:38">
      <c r="B11" s="206"/>
      <c r="C11" s="1102" t="s">
        <v>321</v>
      </c>
      <c r="D11" s="207" t="s">
        <v>322</v>
      </c>
      <c r="E11" s="208"/>
      <c r="F11" s="208" t="s">
        <v>318</v>
      </c>
      <c r="G11" s="208" t="s">
        <v>318</v>
      </c>
      <c r="H11" s="208" t="s">
        <v>318</v>
      </c>
      <c r="I11" s="208"/>
      <c r="J11" s="208"/>
      <c r="K11" s="208"/>
      <c r="L11" s="208"/>
      <c r="M11" s="208">
        <v>0</v>
      </c>
      <c r="N11" s="208">
        <v>0</v>
      </c>
      <c r="O11" s="208">
        <v>1</v>
      </c>
      <c r="P11" s="208">
        <v>2</v>
      </c>
      <c r="Q11" s="208">
        <v>2</v>
      </c>
      <c r="R11" s="239">
        <f t="shared" ref="R11:R20" si="9">SUM(F11:Q11)</f>
        <v>5</v>
      </c>
      <c r="S11" s="219"/>
      <c r="V11" s="1098" t="s">
        <v>176</v>
      </c>
      <c r="W11" s="1099"/>
      <c r="X11" s="202" t="s">
        <v>37</v>
      </c>
      <c r="Y11" s="197">
        <v>11.7420000000002</v>
      </c>
      <c r="Z11" s="203">
        <v>0</v>
      </c>
      <c r="AA11" s="203">
        <v>0</v>
      </c>
      <c r="AB11" s="203">
        <v>0</v>
      </c>
      <c r="AC11" s="198">
        <v>9701</v>
      </c>
      <c r="AD11" s="198">
        <v>29704</v>
      </c>
      <c r="AE11" s="198">
        <v>22007</v>
      </c>
      <c r="AF11" s="198">
        <v>20387</v>
      </c>
      <c r="AG11" s="198">
        <v>22783</v>
      </c>
      <c r="AH11" s="198">
        <v>24556</v>
      </c>
      <c r="AI11" s="203">
        <v>20010</v>
      </c>
      <c r="AJ11" s="203">
        <v>210</v>
      </c>
      <c r="AK11" s="203">
        <v>9908</v>
      </c>
      <c r="AL11" s="205">
        <f>SUM(Z11:AK11)</f>
        <v>159266</v>
      </c>
    </row>
    <row r="12" spans="2:38">
      <c r="B12" s="209"/>
      <c r="C12" s="1103"/>
      <c r="D12" s="210" t="s">
        <v>37</v>
      </c>
      <c r="E12" s="211"/>
      <c r="F12" s="211">
        <v>0</v>
      </c>
      <c r="G12" s="211">
        <v>0</v>
      </c>
      <c r="H12" s="211">
        <v>0</v>
      </c>
      <c r="I12" s="211"/>
      <c r="J12" s="211"/>
      <c r="K12" s="211"/>
      <c r="L12" s="211">
        <f t="shared" ref="L12" si="10">7300*L11</f>
        <v>0</v>
      </c>
      <c r="M12" s="211">
        <f t="shared" ref="M12:Q12" si="11">7300*M11</f>
        <v>0</v>
      </c>
      <c r="N12" s="211">
        <f t="shared" si="11"/>
        <v>0</v>
      </c>
      <c r="O12" s="211">
        <f t="shared" si="11"/>
        <v>7300</v>
      </c>
      <c r="P12" s="211">
        <f t="shared" si="11"/>
        <v>14600</v>
      </c>
      <c r="Q12" s="211">
        <f t="shared" si="11"/>
        <v>14600</v>
      </c>
      <c r="R12" s="240">
        <f t="shared" si="9"/>
        <v>36500</v>
      </c>
      <c r="S12" s="219"/>
      <c r="T12" s="221"/>
      <c r="V12" s="1094" t="s">
        <v>42</v>
      </c>
      <c r="W12" s="1095"/>
      <c r="X12" s="192" t="s">
        <v>37</v>
      </c>
      <c r="Y12" s="204"/>
      <c r="Z12" s="205">
        <v>0</v>
      </c>
      <c r="AA12" s="205">
        <v>0</v>
      </c>
      <c r="AB12" s="205">
        <v>0</v>
      </c>
      <c r="AC12" s="205">
        <v>7300</v>
      </c>
      <c r="AD12" s="205">
        <v>21900</v>
      </c>
      <c r="AE12" s="205">
        <v>58400</v>
      </c>
      <c r="AF12" s="205">
        <v>58400</v>
      </c>
      <c r="AG12" s="205">
        <v>58400</v>
      </c>
      <c r="AH12" s="205">
        <v>73000</v>
      </c>
      <c r="AI12" s="211">
        <v>80300</v>
      </c>
      <c r="AJ12" s="211">
        <v>87600</v>
      </c>
      <c r="AK12" s="211">
        <v>80300</v>
      </c>
      <c r="AL12" s="205">
        <f>SUM(Z12:AK12)</f>
        <v>525600</v>
      </c>
    </row>
    <row r="13" spans="2:38">
      <c r="B13" s="206"/>
      <c r="C13" s="1102" t="s">
        <v>323</v>
      </c>
      <c r="D13" s="207" t="s">
        <v>324</v>
      </c>
      <c r="E13" s="208"/>
      <c r="F13" s="208"/>
      <c r="G13" s="208"/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39">
        <f t="shared" si="9"/>
        <v>0</v>
      </c>
      <c r="S13" s="219"/>
      <c r="T13" s="221"/>
    </row>
    <row r="14" spans="2:38">
      <c r="B14" s="209"/>
      <c r="C14" s="1103"/>
      <c r="D14" s="210" t="s">
        <v>37</v>
      </c>
      <c r="E14" s="211"/>
      <c r="F14" s="211">
        <f>49500*F13</f>
        <v>0</v>
      </c>
      <c r="G14" s="211">
        <f>49500*G13</f>
        <v>0</v>
      </c>
      <c r="H14" s="211">
        <v>0</v>
      </c>
      <c r="I14" s="211">
        <f>49500*I13</f>
        <v>0</v>
      </c>
      <c r="J14" s="211">
        <v>0</v>
      </c>
      <c r="K14" s="211">
        <v>0</v>
      </c>
      <c r="L14" s="211">
        <f t="shared" ref="L14" si="12">7300*L13</f>
        <v>0</v>
      </c>
      <c r="M14" s="211">
        <f>(7300*M13)</f>
        <v>0</v>
      </c>
      <c r="N14" s="211">
        <f t="shared" ref="N14:O14" si="13">7300*N13</f>
        <v>0</v>
      </c>
      <c r="O14" s="211">
        <f t="shared" si="13"/>
        <v>0</v>
      </c>
      <c r="P14" s="211">
        <f t="shared" ref="P14:Q14" si="14">7300*P13</f>
        <v>0</v>
      </c>
      <c r="Q14" s="211">
        <f t="shared" si="14"/>
        <v>0</v>
      </c>
      <c r="R14" s="240">
        <f t="shared" si="9"/>
        <v>0</v>
      </c>
      <c r="S14" s="219"/>
      <c r="T14" s="221"/>
    </row>
    <row r="15" spans="2:38">
      <c r="B15" s="206"/>
      <c r="C15" s="1102" t="s">
        <v>203</v>
      </c>
      <c r="D15" s="207" t="s">
        <v>324</v>
      </c>
      <c r="E15" s="208"/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39">
        <f t="shared" si="9"/>
        <v>0</v>
      </c>
      <c r="S15" s="219"/>
    </row>
    <row r="16" spans="2:38">
      <c r="B16" s="209"/>
      <c r="C16" s="1103"/>
      <c r="D16" s="210" t="s">
        <v>37</v>
      </c>
      <c r="E16" s="211"/>
      <c r="F16" s="211">
        <f>7300*F15</f>
        <v>0</v>
      </c>
      <c r="G16" s="211">
        <f t="shared" ref="G16" si="15">29500*G15</f>
        <v>0</v>
      </c>
      <c r="H16" s="211">
        <v>0</v>
      </c>
      <c r="I16" s="211">
        <v>0</v>
      </c>
      <c r="J16" s="211">
        <v>0</v>
      </c>
      <c r="K16" s="211">
        <v>0</v>
      </c>
      <c r="L16" s="211">
        <f t="shared" ref="L16" si="16">7300*L15</f>
        <v>0</v>
      </c>
      <c r="M16" s="211">
        <f>(7300*M15)</f>
        <v>0</v>
      </c>
      <c r="N16" s="211">
        <f t="shared" ref="N16:O16" si="17">7300*N15</f>
        <v>0</v>
      </c>
      <c r="O16" s="211">
        <f t="shared" si="17"/>
        <v>0</v>
      </c>
      <c r="P16" s="211">
        <v>0</v>
      </c>
      <c r="Q16" s="211">
        <v>0</v>
      </c>
      <c r="R16" s="240">
        <f t="shared" si="9"/>
        <v>0</v>
      </c>
      <c r="S16" s="219"/>
    </row>
    <row r="17" spans="2:30" hidden="1">
      <c r="B17" s="206"/>
      <c r="C17" s="1102" t="s">
        <v>201</v>
      </c>
      <c r="D17" s="207" t="s">
        <v>324</v>
      </c>
      <c r="E17" s="208"/>
      <c r="F17" s="208">
        <v>0</v>
      </c>
      <c r="G17" s="208">
        <v>0</v>
      </c>
      <c r="H17" s="208">
        <v>0</v>
      </c>
      <c r="I17" s="208">
        <v>0</v>
      </c>
      <c r="J17" s="208">
        <v>0</v>
      </c>
      <c r="K17" s="208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39">
        <f t="shared" si="9"/>
        <v>0</v>
      </c>
      <c r="S17" s="219"/>
    </row>
    <row r="18" spans="2:30" hidden="1">
      <c r="B18" s="209"/>
      <c r="C18" s="1103"/>
      <c r="D18" s="210" t="s">
        <v>37</v>
      </c>
      <c r="E18" s="211"/>
      <c r="F18" s="211">
        <v>0</v>
      </c>
      <c r="G18" s="211">
        <v>0</v>
      </c>
      <c r="H18" s="211">
        <v>0</v>
      </c>
      <c r="I18" s="211">
        <v>0</v>
      </c>
      <c r="J18" s="211">
        <v>0</v>
      </c>
      <c r="K18" s="211">
        <v>0</v>
      </c>
      <c r="L18" s="211">
        <v>0</v>
      </c>
      <c r="M18" s="211">
        <v>0</v>
      </c>
      <c r="N18" s="211">
        <v>0</v>
      </c>
      <c r="O18" s="211">
        <v>0</v>
      </c>
      <c r="P18" s="211">
        <v>0</v>
      </c>
      <c r="Q18" s="211">
        <v>0</v>
      </c>
      <c r="R18" s="240">
        <f t="shared" si="9"/>
        <v>0</v>
      </c>
      <c r="S18" s="219"/>
    </row>
    <row r="19" spans="2:30">
      <c r="B19" s="1100" t="s">
        <v>325</v>
      </c>
      <c r="C19" s="1101"/>
      <c r="D19" s="207" t="s">
        <v>324</v>
      </c>
      <c r="E19" s="208"/>
      <c r="F19" s="208" t="s">
        <v>318</v>
      </c>
      <c r="G19" s="208" t="s">
        <v>318</v>
      </c>
      <c r="H19" s="208" t="s">
        <v>318</v>
      </c>
      <c r="I19" s="208" t="s">
        <v>318</v>
      </c>
      <c r="J19" s="208" t="s">
        <v>318</v>
      </c>
      <c r="K19" s="208"/>
      <c r="L19" s="208">
        <v>0</v>
      </c>
      <c r="M19" s="208">
        <v>0</v>
      </c>
      <c r="N19" s="208">
        <v>0</v>
      </c>
      <c r="O19" s="208">
        <v>3</v>
      </c>
      <c r="P19" s="208">
        <v>5</v>
      </c>
      <c r="Q19" s="208">
        <v>8</v>
      </c>
      <c r="R19" s="241">
        <f t="shared" si="9"/>
        <v>16</v>
      </c>
      <c r="S19" s="219"/>
    </row>
    <row r="20" spans="2:30">
      <c r="B20" s="209"/>
      <c r="C20" s="212"/>
      <c r="D20" s="210" t="s">
        <v>37</v>
      </c>
      <c r="E20" s="211"/>
      <c r="F20" s="211"/>
      <c r="G20" s="211"/>
      <c r="H20" s="211"/>
      <c r="I20" s="211"/>
      <c r="J20" s="211"/>
      <c r="K20" s="211">
        <f t="shared" ref="K20:L20" si="18">7300*K19</f>
        <v>0</v>
      </c>
      <c r="L20" s="211">
        <f t="shared" si="18"/>
        <v>0</v>
      </c>
      <c r="M20" s="211">
        <f>(7300*M19)</f>
        <v>0</v>
      </c>
      <c r="N20" s="211">
        <f>7000*N19</f>
        <v>0</v>
      </c>
      <c r="O20" s="211">
        <f t="shared" ref="O20:Q20" si="19">7000*O19</f>
        <v>21000</v>
      </c>
      <c r="P20" s="211">
        <f t="shared" si="19"/>
        <v>35000</v>
      </c>
      <c r="Q20" s="211">
        <f t="shared" si="19"/>
        <v>56000</v>
      </c>
      <c r="R20" s="242">
        <f t="shared" si="9"/>
        <v>112000</v>
      </c>
      <c r="S20" s="219"/>
    </row>
    <row r="21" spans="2:30">
      <c r="B21" s="1094" t="s">
        <v>177</v>
      </c>
      <c r="C21" s="1095"/>
      <c r="D21" s="192" t="s">
        <v>37</v>
      </c>
      <c r="E21" s="204"/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43"/>
      <c r="S21" s="219"/>
    </row>
    <row r="22" spans="2:30">
      <c r="B22" s="1096" t="s">
        <v>45</v>
      </c>
      <c r="C22" s="1097"/>
      <c r="D22" s="213" t="s">
        <v>46</v>
      </c>
      <c r="E22" s="214"/>
      <c r="F22" s="215">
        <v>142.1</v>
      </c>
      <c r="G22" s="215">
        <v>81.2</v>
      </c>
      <c r="H22" s="215">
        <v>15.999999999999998</v>
      </c>
      <c r="I22" s="215">
        <v>33.5</v>
      </c>
      <c r="J22" s="215">
        <v>137.5</v>
      </c>
      <c r="K22" s="215">
        <v>65.899999999999991</v>
      </c>
      <c r="L22" s="215">
        <v>0</v>
      </c>
      <c r="M22" s="215">
        <v>0</v>
      </c>
      <c r="N22" s="215">
        <v>178.824952921749</v>
      </c>
      <c r="O22" s="215">
        <v>121.50335060536599</v>
      </c>
      <c r="P22" s="216">
        <v>175.554552241594</v>
      </c>
      <c r="Q22" s="216">
        <v>254.38112862241999</v>
      </c>
      <c r="R22" s="216">
        <f>SUM(F22:Q22)</f>
        <v>1206.4639843911291</v>
      </c>
      <c r="S22" s="219"/>
    </row>
    <row r="23" spans="2:30">
      <c r="B23" s="1096" t="s">
        <v>47</v>
      </c>
      <c r="C23" s="1097"/>
      <c r="D23" s="213" t="s">
        <v>48</v>
      </c>
      <c r="E23" s="214"/>
      <c r="F23" s="215">
        <v>88.416666666569654</v>
      </c>
      <c r="G23" s="215">
        <v>74.53333333338378</v>
      </c>
      <c r="H23" s="215">
        <v>13.983333333337214</v>
      </c>
      <c r="I23" s="215">
        <v>37.299999999871943</v>
      </c>
      <c r="J23" s="215">
        <v>93.083333333954215</v>
      </c>
      <c r="K23" s="215">
        <v>26.549999999580905</v>
      </c>
      <c r="L23" s="215">
        <v>0</v>
      </c>
      <c r="M23" s="215">
        <v>0</v>
      </c>
      <c r="N23" s="215">
        <v>41.39</v>
      </c>
      <c r="O23" s="215">
        <v>108.52</v>
      </c>
      <c r="P23" s="215">
        <v>105.96</v>
      </c>
      <c r="Q23" s="215">
        <v>126.02</v>
      </c>
      <c r="R23" s="216">
        <f>SUM(F23:Q23)</f>
        <v>715.7566666666977</v>
      </c>
      <c r="S23" s="219"/>
    </row>
    <row r="24" spans="2:30">
      <c r="B24" s="1096" t="s">
        <v>49</v>
      </c>
      <c r="C24" s="1097"/>
      <c r="D24" s="213" t="s">
        <v>48</v>
      </c>
      <c r="E24" s="214"/>
      <c r="F24" s="215">
        <v>0</v>
      </c>
      <c r="G24" s="215">
        <v>0</v>
      </c>
      <c r="H24" s="215">
        <v>0</v>
      </c>
      <c r="I24" s="215">
        <v>0</v>
      </c>
      <c r="J24" s="215">
        <v>0</v>
      </c>
      <c r="K24" s="215">
        <v>0</v>
      </c>
      <c r="L24" s="215">
        <v>0</v>
      </c>
      <c r="M24" s="215">
        <v>0</v>
      </c>
      <c r="N24" s="215">
        <v>52.82</v>
      </c>
      <c r="O24" s="215">
        <v>53.93</v>
      </c>
      <c r="P24" s="215">
        <v>71.22</v>
      </c>
      <c r="Q24" s="215">
        <v>70.7</v>
      </c>
      <c r="R24" s="216">
        <f>SUM(F24:Q24)</f>
        <v>248.67000000000002</v>
      </c>
      <c r="S24" s="219"/>
    </row>
    <row r="25" spans="2:30" hidden="1">
      <c r="B25" s="1096" t="s">
        <v>50</v>
      </c>
      <c r="C25" s="1097"/>
      <c r="D25" s="213" t="s">
        <v>51</v>
      </c>
      <c r="E25" s="214"/>
      <c r="F25" s="216">
        <v>54576</v>
      </c>
      <c r="G25" s="216">
        <v>47465</v>
      </c>
      <c r="H25" s="216">
        <v>25842</v>
      </c>
      <c r="I25" s="216">
        <v>39763</v>
      </c>
      <c r="J25" s="216">
        <v>35000</v>
      </c>
      <c r="K25" s="216">
        <v>35000</v>
      </c>
      <c r="L25" s="216">
        <v>35000</v>
      </c>
      <c r="M25" s="216">
        <v>35000</v>
      </c>
      <c r="N25" s="216">
        <v>35000</v>
      </c>
      <c r="O25" s="216">
        <v>35000</v>
      </c>
      <c r="P25" s="216">
        <v>35000</v>
      </c>
      <c r="Q25" s="216">
        <v>35000</v>
      </c>
      <c r="R25" s="214"/>
      <c r="S25" s="219"/>
    </row>
    <row r="26" spans="2:30">
      <c r="B26" s="217"/>
      <c r="C26" s="217"/>
      <c r="D26" s="217"/>
      <c r="E26" s="218"/>
    </row>
    <row r="27" spans="2:30">
      <c r="E27" s="219"/>
      <c r="F27" s="220"/>
      <c r="G27" s="218"/>
      <c r="H27" s="221"/>
      <c r="J27" s="228"/>
      <c r="K27" s="221"/>
      <c r="L27" s="221"/>
      <c r="O27" s="221"/>
      <c r="P27" s="223"/>
      <c r="Q27" s="223"/>
    </row>
    <row r="28" spans="2:30">
      <c r="E28" s="222"/>
      <c r="F28" s="221"/>
      <c r="G28" s="223"/>
      <c r="H28" s="221"/>
      <c r="J28" s="221"/>
      <c r="K28" s="221"/>
      <c r="L28" s="229"/>
      <c r="M28" s="223"/>
      <c r="N28" s="230"/>
      <c r="O28" s="230"/>
      <c r="P28" s="221"/>
    </row>
    <row r="29" spans="2:30">
      <c r="E29" s="222"/>
      <c r="F29" s="221"/>
      <c r="G29" s="223"/>
      <c r="I29" s="221"/>
      <c r="J29" s="219"/>
      <c r="K29" s="221"/>
      <c r="M29" s="223"/>
      <c r="N29" s="230"/>
      <c r="O29" s="231"/>
      <c r="P29" s="219"/>
    </row>
    <row r="30" spans="2:30">
      <c r="E30" s="222"/>
      <c r="F30" s="221"/>
      <c r="G30" s="221"/>
      <c r="I30" s="221"/>
      <c r="J30" s="221"/>
      <c r="K30" s="221"/>
      <c r="N30" s="230"/>
      <c r="O30" s="230"/>
      <c r="Q30" s="221"/>
      <c r="T30" s="230"/>
    </row>
    <row r="31" spans="2:30">
      <c r="I31" s="221"/>
      <c r="K31" s="221"/>
      <c r="O31" s="232"/>
      <c r="P31" s="232"/>
      <c r="Q31" s="232"/>
      <c r="T31" s="230"/>
      <c r="AD31" s="193"/>
    </row>
    <row r="32" spans="2:30">
      <c r="I32" s="221"/>
      <c r="K32" s="221"/>
      <c r="O32" s="221"/>
      <c r="T32" s="230"/>
    </row>
    <row r="33" spans="7:20">
      <c r="G33" s="223"/>
      <c r="O33" s="223"/>
      <c r="T33" s="230"/>
    </row>
    <row r="34" spans="7:20">
      <c r="G34" s="221"/>
      <c r="T34" s="230"/>
    </row>
    <row r="35" spans="7:20">
      <c r="T35" s="230"/>
    </row>
    <row r="36" spans="7:20">
      <c r="T36" s="230"/>
    </row>
    <row r="37" spans="7:20">
      <c r="T37" s="230"/>
    </row>
    <row r="38" spans="7:20">
      <c r="T38" s="230">
        <v>14000</v>
      </c>
    </row>
    <row r="39" spans="7:20">
      <c r="T39" s="230">
        <v>4220</v>
      </c>
    </row>
    <row r="40" spans="7:20">
      <c r="T40" s="230">
        <v>0</v>
      </c>
    </row>
    <row r="268" spans="25:25">
      <c r="Y268" s="184">
        <v>2</v>
      </c>
    </row>
    <row r="269" spans="25:25">
      <c r="Y269" s="184">
        <v>8</v>
      </c>
    </row>
    <row r="270" spans="25:25">
      <c r="Y270" s="184">
        <v>1</v>
      </c>
    </row>
    <row r="271" spans="25:25">
      <c r="Y271" s="184">
        <v>12</v>
      </c>
    </row>
    <row r="272" spans="25:25">
      <c r="Y272" s="184">
        <v>2</v>
      </c>
    </row>
    <row r="273" spans="25:25">
      <c r="Y273" s="184">
        <v>1</v>
      </c>
    </row>
    <row r="274" spans="25:25">
      <c r="Y274" s="184">
        <v>1</v>
      </c>
    </row>
    <row r="275" spans="25:25">
      <c r="Y275" s="184">
        <v>2</v>
      </c>
    </row>
    <row r="276" spans="25:25">
      <c r="Y276" s="184">
        <v>9</v>
      </c>
    </row>
    <row r="277" spans="25:25">
      <c r="Y277" s="184">
        <v>1</v>
      </c>
    </row>
    <row r="278" spans="25:25">
      <c r="Y278" s="184">
        <v>12</v>
      </c>
    </row>
    <row r="279" spans="25:25">
      <c r="Y279" s="184">
        <v>2</v>
      </c>
    </row>
    <row r="280" spans="25:25">
      <c r="Y280" s="184">
        <v>1</v>
      </c>
    </row>
    <row r="281" spans="25:25">
      <c r="Y281" s="184">
        <v>1</v>
      </c>
    </row>
    <row r="282" spans="25:25">
      <c r="Y282" s="184">
        <v>5</v>
      </c>
    </row>
    <row r="283" spans="25:25">
      <c r="Y283" s="184">
        <v>24</v>
      </c>
    </row>
    <row r="284" spans="25:25">
      <c r="Y284" s="184">
        <v>1</v>
      </c>
    </row>
    <row r="285" spans="25:25">
      <c r="Y285" s="184">
        <v>12</v>
      </c>
    </row>
    <row r="286" spans="25:25">
      <c r="Y286" s="184">
        <v>4</v>
      </c>
    </row>
    <row r="287" spans="25:25">
      <c r="Y287" s="184">
        <v>2</v>
      </c>
    </row>
    <row r="288" spans="25:25">
      <c r="Y288" s="184">
        <v>1</v>
      </c>
    </row>
    <row r="289" spans="20:25">
      <c r="Y289" s="184">
        <v>6</v>
      </c>
    </row>
    <row r="290" spans="20:25">
      <c r="Y290" s="184">
        <v>30</v>
      </c>
    </row>
    <row r="291" spans="20:25">
      <c r="Y291" s="184">
        <v>1</v>
      </c>
    </row>
    <row r="292" spans="20:25">
      <c r="T292" s="184">
        <v>4</v>
      </c>
      <c r="Y292" s="184">
        <v>12</v>
      </c>
    </row>
    <row r="293" spans="20:25">
      <c r="T293" s="184">
        <v>16</v>
      </c>
      <c r="Y293" s="184">
        <v>4</v>
      </c>
    </row>
    <row r="294" spans="20:25">
      <c r="T294" s="184">
        <v>0</v>
      </c>
      <c r="Y294" s="184">
        <v>2</v>
      </c>
    </row>
    <row r="295" spans="20:25">
      <c r="T295" s="184">
        <v>0</v>
      </c>
      <c r="Y295" s="184">
        <v>1</v>
      </c>
    </row>
    <row r="296" spans="20:25">
      <c r="T296" s="184">
        <v>2</v>
      </c>
      <c r="Y296" s="184">
        <v>2</v>
      </c>
    </row>
    <row r="297" spans="20:25">
      <c r="T297" s="184">
        <v>1</v>
      </c>
      <c r="Y297" s="184">
        <v>8</v>
      </c>
    </row>
    <row r="298" spans="20:25">
      <c r="T298" s="184">
        <v>0</v>
      </c>
      <c r="Y298" s="184">
        <v>0</v>
      </c>
    </row>
    <row r="299" spans="20:25">
      <c r="T299" s="184">
        <v>4</v>
      </c>
      <c r="Y299" s="184">
        <v>0</v>
      </c>
    </row>
    <row r="300" spans="20:25">
      <c r="T300" s="184">
        <v>16</v>
      </c>
      <c r="Y300" s="184">
        <v>2</v>
      </c>
    </row>
    <row r="301" spans="20:25">
      <c r="T301" s="184">
        <v>0</v>
      </c>
      <c r="Y301" s="184">
        <v>1</v>
      </c>
    </row>
    <row r="302" spans="20:25">
      <c r="T302" s="184">
        <v>0</v>
      </c>
      <c r="Y302" s="184">
        <v>0</v>
      </c>
    </row>
    <row r="303" spans="20:25">
      <c r="T303" s="184">
        <v>2</v>
      </c>
      <c r="Y303" s="184">
        <v>2</v>
      </c>
    </row>
    <row r="304" spans="20:25">
      <c r="T304" s="184">
        <v>1</v>
      </c>
      <c r="Y304" s="184">
        <v>8</v>
      </c>
    </row>
    <row r="305" spans="20:25">
      <c r="T305" s="184">
        <v>0</v>
      </c>
      <c r="Y305" s="184">
        <v>0</v>
      </c>
    </row>
    <row r="306" spans="20:25">
      <c r="T306" s="184">
        <v>4</v>
      </c>
      <c r="Y306" s="184">
        <v>0</v>
      </c>
    </row>
    <row r="307" spans="20:25">
      <c r="T307" s="184">
        <v>16</v>
      </c>
      <c r="Y307" s="184">
        <v>2</v>
      </c>
    </row>
    <row r="308" spans="20:25">
      <c r="T308" s="184">
        <v>1</v>
      </c>
      <c r="Y308" s="184">
        <v>1</v>
      </c>
    </row>
    <row r="309" spans="20:25">
      <c r="T309" s="184">
        <v>16</v>
      </c>
      <c r="Y309" s="184">
        <v>0</v>
      </c>
    </row>
    <row r="310" spans="20:25">
      <c r="T310" s="184">
        <v>3</v>
      </c>
    </row>
    <row r="311" spans="20:25">
      <c r="T311" s="184">
        <v>1</v>
      </c>
    </row>
    <row r="312" spans="20:25">
      <c r="T312" s="184">
        <v>1</v>
      </c>
    </row>
    <row r="313" spans="20:25">
      <c r="T313" s="184">
        <v>4</v>
      </c>
    </row>
    <row r="314" spans="20:25">
      <c r="T314" s="184">
        <v>16</v>
      </c>
    </row>
    <row r="315" spans="20:25">
      <c r="T315" s="184">
        <v>2</v>
      </c>
    </row>
    <row r="316" spans="20:25">
      <c r="T316" s="184">
        <v>16</v>
      </c>
    </row>
    <row r="317" spans="20:25">
      <c r="T317" s="184">
        <v>3</v>
      </c>
    </row>
    <row r="318" spans="20:25">
      <c r="T318" s="184">
        <v>1</v>
      </c>
    </row>
    <row r="319" spans="20:25">
      <c r="T319" s="184">
        <v>1</v>
      </c>
    </row>
    <row r="320" spans="20:25">
      <c r="T320" s="184">
        <v>2</v>
      </c>
    </row>
    <row r="321" spans="20:20">
      <c r="T321" s="184">
        <v>10</v>
      </c>
    </row>
    <row r="324" spans="20:20">
      <c r="T324" s="184">
        <v>2</v>
      </c>
    </row>
    <row r="325" spans="20:20">
      <c r="T325" s="184">
        <v>1</v>
      </c>
    </row>
    <row r="327" spans="20:20">
      <c r="T327" s="184">
        <v>2</v>
      </c>
    </row>
    <row r="328" spans="20:20">
      <c r="T328" s="184">
        <v>10</v>
      </c>
    </row>
    <row r="331" spans="20:20">
      <c r="T331" s="184">
        <v>2</v>
      </c>
    </row>
    <row r="332" spans="20:20">
      <c r="T332" s="184">
        <v>1</v>
      </c>
    </row>
  </sheetData>
  <mergeCells count="26">
    <mergeCell ref="B3:C3"/>
    <mergeCell ref="B4:C4"/>
    <mergeCell ref="B5:C5"/>
    <mergeCell ref="V5:W5"/>
    <mergeCell ref="B6:C6"/>
    <mergeCell ref="V6:W6"/>
    <mergeCell ref="B7:C7"/>
    <mergeCell ref="V7:W7"/>
    <mergeCell ref="B8:C8"/>
    <mergeCell ref="V8:W8"/>
    <mergeCell ref="B9:C9"/>
    <mergeCell ref="V9:W9"/>
    <mergeCell ref="B10:C10"/>
    <mergeCell ref="V10:W10"/>
    <mergeCell ref="V11:W11"/>
    <mergeCell ref="V12:W12"/>
    <mergeCell ref="B19:C19"/>
    <mergeCell ref="C11:C12"/>
    <mergeCell ref="C13:C14"/>
    <mergeCell ref="C15:C16"/>
    <mergeCell ref="C17:C18"/>
    <mergeCell ref="B21:C21"/>
    <mergeCell ref="B22:C22"/>
    <mergeCell ref="B23:C23"/>
    <mergeCell ref="B24:C24"/>
    <mergeCell ref="B25:C25"/>
  </mergeCells>
  <pageMargins left="0.7" right="0.7" top="0.75" bottom="0.75" header="0.3" footer="0.3"/>
  <pageSetup paperSize="9" scale="66" orientation="landscape" horizontalDpi="1200" verticalDpi="1200" r:id="rId1"/>
  <ignoredErrors>
    <ignoredError sqref="R8" formula="1"/>
    <ignoredError sqref="R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53E4-E1CE-4EE0-811C-57D59FD13C8D}">
  <sheetPr>
    <tabColor rgb="FFFFC000"/>
  </sheetPr>
  <dimension ref="A1"/>
  <sheetViews>
    <sheetView workbookViewId="0">
      <selection activeCell="F21" sqref="F21"/>
    </sheetView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59999389629810485"/>
  </sheetPr>
  <dimension ref="A17:Q58"/>
  <sheetViews>
    <sheetView showGridLines="0" zoomScale="70" zoomScaleNormal="70" workbookViewId="0">
      <selection activeCell="T21" sqref="T21"/>
    </sheetView>
  </sheetViews>
  <sheetFormatPr defaultColWidth="9" defaultRowHeight="14.4"/>
  <cols>
    <col min="2" max="2" width="11.109375" customWidth="1"/>
    <col min="3" max="3" width="10.33203125" customWidth="1"/>
    <col min="5" max="5" width="11.109375" customWidth="1"/>
    <col min="6" max="6" width="9.109375" customWidth="1"/>
    <col min="7" max="7" width="8.6640625" customWidth="1"/>
    <col min="16" max="16" width="9.109375" customWidth="1"/>
    <col min="17" max="17" width="16.109375" customWidth="1"/>
  </cols>
  <sheetData>
    <row r="17" spans="16:17">
      <c r="P17" s="181"/>
    </row>
    <row r="31" spans="16:17">
      <c r="Q31" s="181"/>
    </row>
    <row r="37" spans="1:12">
      <c r="B37" s="175"/>
      <c r="C37" s="175"/>
      <c r="D37" s="175"/>
      <c r="E37" s="175"/>
      <c r="F37" s="175"/>
      <c r="G37" s="175"/>
      <c r="H37" s="175"/>
      <c r="I37" s="175"/>
      <c r="J37" s="175"/>
      <c r="K37" s="175"/>
    </row>
    <row r="38" spans="1:12">
      <c r="B38" s="175"/>
      <c r="C38" s="175"/>
      <c r="D38" s="175"/>
      <c r="E38" s="175"/>
      <c r="F38" s="175"/>
      <c r="G38" s="175"/>
      <c r="H38" s="175"/>
      <c r="I38" s="175"/>
      <c r="J38" s="175"/>
      <c r="K38" s="175"/>
    </row>
    <row r="39" spans="1:12" ht="15.45" customHeight="1">
      <c r="B39" s="175" t="s">
        <v>326</v>
      </c>
      <c r="C39" s="176">
        <f>Summary!D4</f>
        <v>0</v>
      </c>
      <c r="D39" s="175" t="s">
        <v>327</v>
      </c>
      <c r="E39" s="176">
        <f>Summary!E4</f>
        <v>0</v>
      </c>
      <c r="F39" s="175" t="s">
        <v>328</v>
      </c>
      <c r="G39" s="177">
        <f>(SUBSTITUTE(Summary!G4,"-","")+0)</f>
        <v>0</v>
      </c>
      <c r="H39" s="175" t="str">
        <f>IF(Summary!G4&gt;0,"higher than outlook plan ",IF(Summary!G4&lt;0,"lower than outlook plan ","same as outlook plan"))</f>
        <v>same as outlook plan</v>
      </c>
      <c r="I39" s="175"/>
      <c r="J39" s="175"/>
      <c r="K39" s="175"/>
    </row>
    <row r="40" spans="1:12" ht="15.45" customHeight="1">
      <c r="B40" s="175" t="s">
        <v>329</v>
      </c>
      <c r="C40" s="178">
        <f>Summary!D5</f>
        <v>0</v>
      </c>
      <c r="D40" s="175" t="s">
        <v>330</v>
      </c>
      <c r="E40" s="178">
        <f>Summary!E5</f>
        <v>0</v>
      </c>
      <c r="F40" s="175" t="s">
        <v>331</v>
      </c>
      <c r="G40" s="177">
        <f>(SUBSTITUTE(Summary!G5,"-","")+0)</f>
        <v>0</v>
      </c>
      <c r="H40" s="175" t="str">
        <f>IF(Summary!G5&gt;0,"higher than outlook plan ",IF(Summary!G5&lt;0,"lower than outlook plan ","same as outlook plan"))</f>
        <v>same as outlook plan</v>
      </c>
      <c r="I40" s="175"/>
      <c r="J40" s="175"/>
      <c r="K40" s="175"/>
      <c r="L40" s="183"/>
    </row>
    <row r="41" spans="1:12" ht="15.45" customHeight="1">
      <c r="B41" s="175" t="s">
        <v>332</v>
      </c>
      <c r="C41" s="178">
        <f>Summary!D8</f>
        <v>0</v>
      </c>
      <c r="D41" s="175" t="s">
        <v>333</v>
      </c>
      <c r="E41" s="178">
        <f>Summary!E8</f>
        <v>0</v>
      </c>
      <c r="F41" s="175" t="s">
        <v>331</v>
      </c>
      <c r="G41" s="177">
        <f>(SUBSTITUTE(Summary!G8,"-","")+0)</f>
        <v>0</v>
      </c>
      <c r="H41" s="175" t="str">
        <f>IF(Summary!G8&gt;0,"higher than outlook plan ",IF(Summary!G8&lt;0,"lower than outlook plan ","same as outlook plan"))</f>
        <v>same as outlook plan</v>
      </c>
      <c r="I41" s="175"/>
      <c r="J41" s="175"/>
      <c r="K41" s="175"/>
    </row>
    <row r="42" spans="1:12" ht="15.45" customHeight="1">
      <c r="B42" s="175" t="s">
        <v>334</v>
      </c>
      <c r="C42" s="178">
        <f>Summary!D9</f>
        <v>0</v>
      </c>
      <c r="D42" s="175" t="s">
        <v>335</v>
      </c>
      <c r="E42" s="176">
        <f>Summary!E9</f>
        <v>0</v>
      </c>
      <c r="F42" s="175" t="s">
        <v>331</v>
      </c>
      <c r="G42" s="177">
        <f>(SUBSTITUTE(Summary!G9,"-","")+0)</f>
        <v>0</v>
      </c>
      <c r="H42" s="175" t="str">
        <f>IF(Summary!G9&gt;0,"higher than outlook plan ",IF(Summary!G9&lt;0,"lower than outlook plan ","same as outlook plan"))</f>
        <v>same as outlook plan</v>
      </c>
      <c r="I42" s="175"/>
      <c r="J42" s="175"/>
      <c r="K42" s="175"/>
    </row>
    <row r="43" spans="1:12" ht="15.45" customHeight="1">
      <c r="B43" s="179"/>
      <c r="C43" s="175"/>
      <c r="D43" s="175"/>
      <c r="E43" s="175"/>
      <c r="F43" s="175"/>
      <c r="G43" s="175"/>
      <c r="H43" s="175"/>
      <c r="I43" s="175"/>
      <c r="J43" s="175"/>
      <c r="K43" s="175"/>
    </row>
    <row r="44" spans="1:12" ht="15.45" customHeight="1">
      <c r="A44" t="s">
        <v>336</v>
      </c>
      <c r="B44" s="175"/>
      <c r="C44" s="175"/>
      <c r="D44" s="175"/>
      <c r="E44" s="175"/>
      <c r="F44" s="175"/>
      <c r="G44" s="175"/>
      <c r="H44" s="175"/>
      <c r="I44" s="175"/>
      <c r="J44" s="175"/>
      <c r="K44" s="175"/>
    </row>
    <row r="45" spans="1:12" ht="15.45" customHeight="1">
      <c r="B45" s="180" t="str">
        <f>B39&amp;" "&amp;TEXT(C39,"#,##0")&amp;" "&amp;D39&amp;" "&amp;TEXT(E39,"#,##0")&amp;" "&amp;F39&amp;" "&amp;TEXT(G39,"0%")&amp;" "&amp;H39</f>
        <v>Waste Removal is  0 BCM, MTD is 0 BCM, or 0% same as outlook plan</v>
      </c>
    </row>
    <row r="46" spans="1:12" ht="15.45" customHeight="1">
      <c r="B46" s="180" t="str">
        <f>B40&amp;" "&amp;TEXT(C40,"#,##0")&amp;" "&amp;D40&amp;" "&amp;TEXT(E40,"#,##0")&amp;" "&amp;F40&amp;" "&amp;TEXT(G40,"0%")&amp;" "&amp;H40</f>
        <v>ROM production is  0 Tons MTD is  0 Tons, or  0% same as outlook plan</v>
      </c>
    </row>
    <row r="47" spans="1:12" ht="15.45" customHeight="1">
      <c r="B47" s="180" t="str">
        <f>B41&amp;" "&amp;TEXT(C41,"#,##0")&amp;" "&amp;D41&amp;" "&amp;TEXT(E41,"#,##0")&amp;" "&amp;F41&amp;" "&amp;TEXT(G41,"0%")&amp;" "&amp;H41</f>
        <v>Crushed Coal Production is  0 Tons, MTD is 0 Tons, or  0% same as outlook plan</v>
      </c>
    </row>
    <row r="48" spans="1:12">
      <c r="B48" s="180" t="str">
        <f>B42&amp;" "&amp;TEXT(C42,"#,##0")&amp;" "&amp;D42&amp;" "&amp;TEXT(E42,"#,##0")&amp;" "&amp;F42&amp;" "&amp;TEXT(G42,"0%")&amp;" "&amp;H42</f>
        <v>Loading Barge is  0 Tons, MTD is  0 Tons, or  0% same as outlook plan</v>
      </c>
    </row>
    <row r="50" spans="2:11">
      <c r="B50" s="180"/>
    </row>
    <row r="51" spans="2:11">
      <c r="B51" s="180"/>
    </row>
    <row r="52" spans="2:11">
      <c r="B52" s="180"/>
    </row>
    <row r="53" spans="2:11">
      <c r="B53" s="180"/>
      <c r="C53" s="181"/>
      <c r="D53" s="181"/>
      <c r="G53" s="181"/>
      <c r="H53" s="181"/>
      <c r="I53" s="181"/>
      <c r="J53" s="181"/>
      <c r="K53" s="181"/>
    </row>
    <row r="54" spans="2:11">
      <c r="B54" s="181"/>
      <c r="C54" s="181"/>
      <c r="D54" s="181"/>
    </row>
    <row r="55" spans="2:11">
      <c r="B55" s="181"/>
      <c r="C55" s="181"/>
      <c r="D55" s="181"/>
      <c r="H55" s="182"/>
    </row>
    <row r="56" spans="2:11">
      <c r="B56" s="181"/>
      <c r="C56" s="181"/>
      <c r="D56" s="181"/>
    </row>
    <row r="57" spans="2:11">
      <c r="B57" s="181"/>
      <c r="C57" s="181"/>
      <c r="D57" s="181"/>
    </row>
    <row r="58" spans="2:11">
      <c r="B58" s="181"/>
      <c r="C58" s="181"/>
      <c r="D58" s="181"/>
    </row>
  </sheetData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N11"/>
  <sheetViews>
    <sheetView showGridLines="0" zoomScale="70" zoomScaleNormal="70" workbookViewId="0">
      <pane xSplit="2" ySplit="1" topLeftCell="C2" activePane="bottomRight" state="frozen"/>
      <selection pane="topRight"/>
      <selection pane="bottomLeft"/>
      <selection pane="bottomRight" activeCell="I28" sqref="I28"/>
    </sheetView>
  </sheetViews>
  <sheetFormatPr defaultColWidth="8.88671875" defaultRowHeight="14.4"/>
  <cols>
    <col min="1" max="1" width="8.109375" style="151" customWidth="1"/>
    <col min="2" max="2" width="8" style="152" customWidth="1"/>
    <col min="3" max="3" width="12.5546875" style="152" customWidth="1"/>
    <col min="4" max="4" width="16.6640625" style="152" customWidth="1"/>
    <col min="5" max="5" width="19.88671875" style="153" customWidth="1"/>
    <col min="6" max="6" width="16.44140625" style="154" customWidth="1"/>
    <col min="7" max="7" width="8.33203125" style="155" customWidth="1"/>
    <col min="8" max="8" width="11.6640625" style="152" customWidth="1"/>
    <col min="9" max="9" width="13.109375" style="156" customWidth="1"/>
    <col min="10" max="10" width="12.33203125" style="157" customWidth="1"/>
    <col min="11" max="11" width="10.6640625" style="158" customWidth="1"/>
    <col min="12" max="12" width="16.44140625" style="158" customWidth="1"/>
    <col min="13" max="13" width="12.33203125" style="159" customWidth="1"/>
    <col min="14" max="14" width="11.109375" style="159" customWidth="1"/>
    <col min="15" max="16384" width="8.88671875" style="135"/>
  </cols>
  <sheetData>
    <row r="1" spans="1:14">
      <c r="A1" s="160" t="s">
        <v>261</v>
      </c>
      <c r="B1" s="161" t="s">
        <v>278</v>
      </c>
      <c r="C1" s="162" t="s">
        <v>337</v>
      </c>
      <c r="D1" s="162" t="s">
        <v>338</v>
      </c>
      <c r="E1" s="161" t="s">
        <v>339</v>
      </c>
      <c r="F1" s="163" t="s">
        <v>340</v>
      </c>
      <c r="G1" s="161" t="s">
        <v>341</v>
      </c>
      <c r="H1" s="162" t="s">
        <v>342</v>
      </c>
      <c r="I1" s="171" t="s">
        <v>343</v>
      </c>
      <c r="J1" s="171" t="s">
        <v>344</v>
      </c>
      <c r="K1" s="171" t="s">
        <v>277</v>
      </c>
      <c r="L1" s="171" t="s">
        <v>345</v>
      </c>
      <c r="M1" s="171" t="s">
        <v>346</v>
      </c>
      <c r="N1" s="171" t="s">
        <v>347</v>
      </c>
    </row>
    <row r="2" spans="1:14">
      <c r="A2" s="164"/>
      <c r="B2" s="165"/>
      <c r="C2" s="165"/>
      <c r="D2" s="166"/>
      <c r="E2" s="167"/>
      <c r="F2" s="168"/>
      <c r="G2" s="166"/>
      <c r="H2" s="166"/>
      <c r="I2" s="172"/>
      <c r="J2" s="173"/>
      <c r="K2" s="174"/>
      <c r="L2" s="174"/>
      <c r="M2" s="159" t="s">
        <v>100</v>
      </c>
      <c r="N2" s="159" t="e">
        <v>#N/A</v>
      </c>
    </row>
    <row r="3" spans="1:14">
      <c r="A3" s="164"/>
      <c r="E3" s="169"/>
      <c r="F3" s="170"/>
      <c r="M3" s="159" t="s">
        <v>100</v>
      </c>
      <c r="N3" s="159" t="e">
        <v>#N/A</v>
      </c>
    </row>
    <row r="4" spans="1:14">
      <c r="A4" s="164"/>
      <c r="E4" s="169"/>
      <c r="F4" s="170"/>
      <c r="M4" s="159" t="s">
        <v>100</v>
      </c>
      <c r="N4" s="159" t="e">
        <v>#N/A</v>
      </c>
    </row>
    <row r="5" spans="1:14">
      <c r="A5" s="164"/>
      <c r="E5" s="169"/>
      <c r="F5" s="170"/>
      <c r="M5" s="159" t="s">
        <v>100</v>
      </c>
      <c r="N5" s="159" t="e">
        <v>#N/A</v>
      </c>
    </row>
    <row r="6" spans="1:14">
      <c r="A6" s="164"/>
      <c r="E6" s="169"/>
      <c r="F6" s="170"/>
      <c r="M6" s="159" t="s">
        <v>100</v>
      </c>
      <c r="N6" s="159" t="e">
        <v>#N/A</v>
      </c>
    </row>
    <row r="7" spans="1:14">
      <c r="A7" s="164"/>
      <c r="E7" s="169"/>
      <c r="F7" s="170"/>
      <c r="M7" s="159" t="s">
        <v>100</v>
      </c>
      <c r="N7" s="159" t="e">
        <v>#N/A</v>
      </c>
    </row>
    <row r="8" spans="1:14">
      <c r="A8" s="164"/>
      <c r="E8" s="169"/>
      <c r="F8" s="170"/>
      <c r="M8" s="159" t="s">
        <v>100</v>
      </c>
      <c r="N8" s="159" t="e">
        <v>#N/A</v>
      </c>
    </row>
    <row r="9" spans="1:14">
      <c r="A9" s="164"/>
      <c r="E9" s="169"/>
      <c r="F9" s="170"/>
      <c r="M9" s="159" t="s">
        <v>100</v>
      </c>
      <c r="N9" s="159" t="e">
        <v>#N/A</v>
      </c>
    </row>
    <row r="10" spans="1:14">
      <c r="A10" s="164"/>
      <c r="E10" s="169"/>
      <c r="F10" s="170"/>
      <c r="M10" s="159" t="s">
        <v>100</v>
      </c>
      <c r="N10" s="159" t="e">
        <v>#N/A</v>
      </c>
    </row>
    <row r="11" spans="1:14">
      <c r="A11" s="164"/>
      <c r="E11" s="169"/>
      <c r="F11" s="170"/>
      <c r="M11" s="159" t="s">
        <v>100</v>
      </c>
      <c r="N11" s="159" t="e">
        <v>#N/A</v>
      </c>
    </row>
  </sheetData>
  <conditionalFormatting sqref="I2:I11">
    <cfRule type="cellIs" dxfId="5" priority="1" stopIfTrue="1" operator="equal">
      <formula>0</formula>
    </cfRule>
  </conditionalFormatting>
  <dataValidations count="2">
    <dataValidation type="list" allowBlank="1" showInputMessage="1" showErrorMessage="1" sqref="B2:B11" xr:uid="{00000000-0002-0000-0A00-000000000000}">
      <formula1>"1,2,3"</formula1>
    </dataValidation>
    <dataValidation type="list" allowBlank="1" showInputMessage="1" showErrorMessage="1" sqref="D2:E11" xr:uid="{00000000-0002-0000-0A00-000001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AB67"/>
  <sheetViews>
    <sheetView showGridLines="0" zoomScale="80" zoomScaleNormal="80" workbookViewId="0">
      <pane ySplit="1" topLeftCell="A2" activePane="bottomLeft" state="frozen"/>
      <selection pane="bottomLeft" activeCell="L2" sqref="L2:N9"/>
    </sheetView>
  </sheetViews>
  <sheetFormatPr defaultColWidth="8.88671875" defaultRowHeight="13.8"/>
  <cols>
    <col min="1" max="1" width="6.6640625" style="105" customWidth="1"/>
    <col min="2" max="2" width="8.88671875" style="105"/>
    <col min="3" max="3" width="7" style="105" customWidth="1"/>
    <col min="4" max="5" width="15.6640625" style="105" customWidth="1"/>
    <col min="6" max="10" width="8.88671875" style="105" customWidth="1"/>
    <col min="11" max="11" width="10.44140625" style="105" customWidth="1"/>
    <col min="12" max="12" width="11.6640625" style="105" customWidth="1"/>
    <col min="13" max="13" width="7.5546875" style="105" customWidth="1"/>
    <col min="14" max="14" width="10" style="105" customWidth="1"/>
    <col min="15" max="15" width="9.44140625" style="105" customWidth="1"/>
    <col min="16" max="19" width="13.6640625" style="105" customWidth="1"/>
    <col min="20" max="21" width="8.88671875" style="105" customWidth="1"/>
    <col min="22" max="22" width="6.6640625" style="126" customWidth="1"/>
    <col min="23" max="24" width="8.88671875" style="105"/>
    <col min="25" max="25" width="16.6640625" style="105" customWidth="1"/>
    <col min="26" max="16384" width="8.88671875" style="105"/>
  </cols>
  <sheetData>
    <row r="1" spans="1:28" ht="30" customHeight="1">
      <c r="A1" s="142" t="s">
        <v>348</v>
      </c>
      <c r="B1" s="142" t="s">
        <v>277</v>
      </c>
      <c r="C1" s="142" t="s">
        <v>349</v>
      </c>
      <c r="D1" s="142" t="s">
        <v>350</v>
      </c>
      <c r="E1" s="142" t="s">
        <v>351</v>
      </c>
      <c r="F1" s="143" t="s">
        <v>352</v>
      </c>
      <c r="G1" s="143" t="s">
        <v>353</v>
      </c>
      <c r="H1" s="143" t="s">
        <v>354</v>
      </c>
      <c r="I1" s="143" t="s">
        <v>355</v>
      </c>
      <c r="J1" s="143" t="s">
        <v>356</v>
      </c>
      <c r="K1" s="143" t="s">
        <v>357</v>
      </c>
      <c r="L1" s="142" t="s">
        <v>358</v>
      </c>
      <c r="M1" s="142" t="s">
        <v>359</v>
      </c>
      <c r="N1" s="142" t="s">
        <v>360</v>
      </c>
      <c r="O1" s="142" t="s">
        <v>361</v>
      </c>
      <c r="P1" s="143" t="s">
        <v>362</v>
      </c>
      <c r="Q1" s="143" t="s">
        <v>363</v>
      </c>
      <c r="R1" s="143" t="s">
        <v>364</v>
      </c>
      <c r="S1" s="143" t="s">
        <v>365</v>
      </c>
      <c r="T1" s="143" t="s">
        <v>366</v>
      </c>
      <c r="U1" s="143" t="s">
        <v>367</v>
      </c>
      <c r="V1" s="149" t="s">
        <v>368</v>
      </c>
      <c r="W1" s="143" t="s">
        <v>347</v>
      </c>
      <c r="Y1" s="105" t="s">
        <v>349</v>
      </c>
      <c r="AA1" s="105" t="s">
        <v>277</v>
      </c>
      <c r="AB1" s="105" t="s">
        <v>361</v>
      </c>
    </row>
    <row r="2" spans="1:28" ht="14.4">
      <c r="A2" s="144"/>
      <c r="B2" s="144"/>
      <c r="C2" s="144"/>
      <c r="D2" s="145"/>
      <c r="E2" s="145"/>
      <c r="F2" s="146">
        <f>TIME(HOUR(Rainfall[[#This Row],[START]]),MINUTE(Rainfall[[#This Row],[START]]),0)</f>
        <v>0</v>
      </c>
      <c r="G2" s="146">
        <f>TIME(HOUR(Rainfall[[#This Row],[FINISH]]),MINUTE(Rainfall[[#This Row],[FINISH]]),0)</f>
        <v>0</v>
      </c>
      <c r="H2" s="144">
        <f>IF(AND(DAY(E2)=DAY(D2),F2&lt;=TIME(12,0,0),G2&lt;=TIME(12,0,0)),1,IF(AND(DAY(E2)=DAY(D2),F2&lt;=TIME(12,0,0),G2&gt;TIME(12,0,0)),2,IF(AND(DAY(E2)=DAY(D2),F2&gt;TIME(12,0,0),G2&gt;TIME(12,0,0)),3,IF(AND(DAY(E2)&gt;DAY(D2),F2&gt;TIME(12,0,0),G2=TIME(0,0,0)),4,IF(AND(DAY(E2)&gt;DAY(D2),F2&lt;=TIME(12,0,0),G2=TIME(0,0,0)),5,6)))))</f>
        <v>1</v>
      </c>
      <c r="I2" s="147">
        <f>ROUNDUP(IF(H2=1,(G2-F2)*24,IF(H2=2,(TIME(12,0,0)-F2)*24,IF(H2=3,0,IF(H2=4,0,(TIME(12,0,0)-F2)*24)))),2)</f>
        <v>0</v>
      </c>
      <c r="J2" s="147">
        <f>ROUNDUP(IF(H2=1,0,IF(H2=2,(G2-TIME(12,0,0))*24,IF(H2=3,(G2-F2)*24,IF(H2=4,(TIME(23,59,59)-F2)*24,((TIME(12,0,0)*24)))))),2)</f>
        <v>0</v>
      </c>
      <c r="K2" s="147" t="str">
        <f t="shared" ref="K2:K3" si="0">IF((E2-D2)*24=0,"",(E2-D2)*24)</f>
        <v/>
      </c>
      <c r="L2" s="144"/>
      <c r="M2" s="144"/>
      <c r="N2" s="144"/>
      <c r="O2" s="144"/>
      <c r="P2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" s="144" t="str">
        <f>Rainfall[[#This Row],[AdjR]]</f>
        <v/>
      </c>
      <c r="R2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" s="144" t="str">
        <f>Rainfall[[#This Row],[AdjS]]</f>
        <v/>
      </c>
      <c r="T2" s="105">
        <f>Rainfall[[#This Row],[RAINFALL (mm)]]</f>
        <v>0</v>
      </c>
      <c r="U2" s="105" t="str">
        <f>Rainfall[[#This Row],[DAY]]&amp;Rainfall[[#This Row],[REMARK]]&amp;Rainfall[[#This Row],[CONTRACTOR]]</f>
        <v/>
      </c>
      <c r="V2" s="130" t="str">
        <f>IF(Rainfall[[#This Row],[REMARK]]="Rain",1,"")</f>
        <v/>
      </c>
      <c r="W2" s="105" t="e">
        <f>VLOOKUP($A2,OB!$AO$2:$AR$32,4,0)</f>
        <v>#N/A</v>
      </c>
      <c r="Y2" s="105" t="s">
        <v>100</v>
      </c>
      <c r="AA2" s="105" t="s">
        <v>370</v>
      </c>
      <c r="AB2" s="105" t="s">
        <v>371</v>
      </c>
    </row>
    <row r="3" spans="1:28">
      <c r="A3" s="144"/>
      <c r="B3" s="144"/>
      <c r="C3" s="144"/>
      <c r="D3" s="145"/>
      <c r="E3" s="145"/>
      <c r="F3" s="146">
        <f>TIME(HOUR(Rainfall[[#This Row],[START]]),MINUTE(Rainfall[[#This Row],[START]]),0)</f>
        <v>0</v>
      </c>
      <c r="G3" s="146">
        <f>TIME(HOUR(Rainfall[[#This Row],[FINISH]]),MINUTE(Rainfall[[#This Row],[FINISH]]),0)</f>
        <v>0</v>
      </c>
      <c r="H3" s="144">
        <f>IF(AND(DAY(E3)=DAY(D3),F3&lt;=TIME(12,0,0),G3&lt;=TIME(12,0,0)),1,IF(AND(DAY(E3)=DAY(D3),F3&lt;=TIME(12,0,0),G3&gt;TIME(12,0,0)),2,IF(AND(DAY(E3)=DAY(D3),F3&gt;TIME(12,0,0),G3&gt;TIME(12,0,0)),3,IF(AND(DAY(E3)&gt;DAY(D3),F3&gt;TIME(12,0,0),G3=TIME(0,0,0)),4,IF(AND(DAY(E3)&gt;DAY(D3),F3&lt;=TIME(12,0,0),G3=TIME(0,0,0)),5,6)))))</f>
        <v>1</v>
      </c>
      <c r="I3" s="148">
        <f>ROUNDUP(IF(H3=1,(G3-F3)*24,IF(H3=2,(TIME(12,0,0)-F3)*24,IF(H3=3,0,IF(H3=4,0,(TIME(12,0,0)-F3)*24)))),2)</f>
        <v>0</v>
      </c>
      <c r="J3" s="148">
        <f>ROUNDUP(IF(H3=1,0,IF(H3=2,(G3-TIME(12,0,0))*24,IF(H3=3,(G3-F3)*24,IF(H3=4,(TIME(23,59,59)-F3)*24,((TIME(12,0,0)*24)))))),2)</f>
        <v>0</v>
      </c>
      <c r="K3" s="148" t="str">
        <f t="shared" si="0"/>
        <v/>
      </c>
      <c r="L3" s="144"/>
      <c r="M3" s="144"/>
      <c r="N3" s="144"/>
      <c r="O3" s="144"/>
      <c r="P3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" s="144" t="str">
        <f>Rainfall[[#This Row],[AdjR]]</f>
        <v/>
      </c>
      <c r="R3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" s="144" t="str">
        <f>Rainfall[[#This Row],[AdjS]]</f>
        <v/>
      </c>
      <c r="T3" s="144">
        <f>Rainfall[[#This Row],[RAINFALL (mm)]]</f>
        <v>0</v>
      </c>
      <c r="U3" s="144" t="str">
        <f>Rainfall[[#This Row],[DAY]]&amp;Rainfall[[#This Row],[REMARK]]&amp;Rainfall[[#This Row],[CONTRACTOR]]</f>
        <v/>
      </c>
      <c r="V3" s="150" t="str">
        <f>IF(Rainfall[[#This Row],[REMARK]]="Rain",1,"")</f>
        <v/>
      </c>
      <c r="W3" s="105" t="e">
        <f>VLOOKUP($A3,OB!$AO$2:$AR$32,4,0)</f>
        <v>#N/A</v>
      </c>
      <c r="Y3" s="105" t="s">
        <v>372</v>
      </c>
      <c r="AA3" s="105" t="s">
        <v>101</v>
      </c>
      <c r="AB3" s="105" t="s">
        <v>122</v>
      </c>
    </row>
    <row r="4" spans="1:28" ht="14.4">
      <c r="A4" s="144"/>
      <c r="B4" s="144"/>
      <c r="C4" s="144"/>
      <c r="D4" s="145"/>
      <c r="E4" s="145"/>
      <c r="F4" s="146">
        <f>TIME(HOUR(Rainfall[[#This Row],[START]]),MINUTE(Rainfall[[#This Row],[START]]),0)</f>
        <v>0</v>
      </c>
      <c r="G4" s="146">
        <f>TIME(HOUR(Rainfall[[#This Row],[FINISH]]),MINUTE(Rainfall[[#This Row],[FINISH]]),0)</f>
        <v>0</v>
      </c>
      <c r="H4" s="144">
        <f t="shared" ref="H4:H57" si="1">IF(AND(DAY(E4)=DAY(D4),F4&lt;=TIME(12,0,0),G4&lt;=TIME(12,0,0)),1,IF(AND(DAY(E4)=DAY(D4),F4&lt;=TIME(12,0,0),G4&gt;TIME(12,0,0)),2,IF(AND(DAY(E4)=DAY(D4),F4&gt;TIME(12,0,0),G4&gt;TIME(12,0,0)),3,IF(AND(DAY(E4)&gt;DAY(D4),F4&gt;TIME(12,0,0),G4=TIME(0,0,0)),4,IF(AND(DAY(E4)&gt;DAY(D4),F4&lt;=TIME(12,0,0),G4=TIME(0,0,0)),5,6)))))</f>
        <v>1</v>
      </c>
      <c r="I4" s="147">
        <f t="shared" ref="I4:I57" si="2">ROUNDUP(IF(H4=1,(G4-F4)*24,IF(H4=2,(TIME(12,0,0)-F4)*24,IF(H4=3,0,IF(H4=4,0,(TIME(12,0,0)-F4)*24)))),2)</f>
        <v>0</v>
      </c>
      <c r="J4" s="147">
        <f t="shared" ref="J4:J57" si="3">ROUNDUP(IF(H4=1,0,IF(H4=2,(G4-TIME(12,0,0))*24,IF(H4=3,(G4-F4)*24,IF(H4=4,(TIME(23,59,59)-F4)*24,((TIME(12,0,0)*24)))))),2)</f>
        <v>0</v>
      </c>
      <c r="K4" s="147" t="str">
        <f t="shared" ref="K4:K57" si="4">IF((E4-D4)*24=0,"",(E4-D4)*24)</f>
        <v/>
      </c>
      <c r="L4" s="144"/>
      <c r="M4" s="144"/>
      <c r="N4" s="144"/>
      <c r="O4" s="144"/>
      <c r="P4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" s="144" t="str">
        <f>Rainfall[[#This Row],[AdjR]]</f>
        <v/>
      </c>
      <c r="R4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" s="144" t="str">
        <f>Rainfall[[#This Row],[AdjS]]</f>
        <v/>
      </c>
      <c r="T4" s="144">
        <f>Rainfall[[#This Row],[RAINFALL (mm)]]</f>
        <v>0</v>
      </c>
      <c r="U4" s="144" t="str">
        <f>Rainfall[[#This Row],[DAY]]&amp;Rainfall[[#This Row],[REMARK]]&amp;Rainfall[[#This Row],[CONTRACTOR]]</f>
        <v/>
      </c>
      <c r="V4" s="150" t="str">
        <f>IF(Rainfall[[#This Row],[REMARK]]="Rain",1,"")</f>
        <v/>
      </c>
      <c r="W4" s="105" t="e">
        <f>VLOOKUP($A4,OB!$AO$2:$AR$32,4,0)</f>
        <v>#N/A</v>
      </c>
      <c r="AA4" s="105" t="s">
        <v>111</v>
      </c>
      <c r="AB4" s="105" t="s">
        <v>373</v>
      </c>
    </row>
    <row r="5" spans="1:28" ht="14.4">
      <c r="A5" s="144"/>
      <c r="B5" s="144"/>
      <c r="C5" s="144"/>
      <c r="D5" s="145"/>
      <c r="E5" s="145"/>
      <c r="F5" s="146">
        <f>TIME(HOUR(Rainfall[[#This Row],[START]]),MINUTE(Rainfall[[#This Row],[START]]),0)</f>
        <v>0</v>
      </c>
      <c r="G5" s="146">
        <f>TIME(HOUR(Rainfall[[#This Row],[FINISH]]),MINUTE(Rainfall[[#This Row],[FINISH]]),0)</f>
        <v>0</v>
      </c>
      <c r="H5" s="144">
        <f t="shared" si="1"/>
        <v>1</v>
      </c>
      <c r="I5" s="147">
        <f t="shared" si="2"/>
        <v>0</v>
      </c>
      <c r="J5" s="147">
        <f t="shared" si="3"/>
        <v>0</v>
      </c>
      <c r="K5" s="147" t="str">
        <f t="shared" si="4"/>
        <v/>
      </c>
      <c r="L5" s="144"/>
      <c r="M5" s="144"/>
      <c r="N5" s="144"/>
      <c r="O5" s="144"/>
      <c r="P5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" s="144" t="str">
        <f>Rainfall[[#This Row],[AdjR]]</f>
        <v/>
      </c>
      <c r="R5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" s="144" t="str">
        <f>Rainfall[[#This Row],[AdjS]]</f>
        <v/>
      </c>
      <c r="T5" s="105">
        <f>Rainfall[[#This Row],[RAINFALL (mm)]]</f>
        <v>0</v>
      </c>
      <c r="U5" s="105" t="str">
        <f>Rainfall[[#This Row],[DAY]]&amp;Rainfall[[#This Row],[REMARK]]&amp;Rainfall[[#This Row],[CONTRACTOR]]</f>
        <v/>
      </c>
      <c r="V5" s="130" t="str">
        <f>IF(Rainfall[[#This Row],[REMARK]]="Rain",1,"")</f>
        <v/>
      </c>
      <c r="W5" s="105" t="e">
        <f>VLOOKUP($A5,OB!$AO$2:$AR$32,4,0)</f>
        <v>#N/A</v>
      </c>
      <c r="AA5" s="105" t="s">
        <v>374</v>
      </c>
      <c r="AB5" s="105" t="s">
        <v>160</v>
      </c>
    </row>
    <row r="6" spans="1:28" ht="14.4">
      <c r="A6" s="144"/>
      <c r="B6" s="144"/>
      <c r="C6" s="144"/>
      <c r="D6" s="145"/>
      <c r="E6" s="145"/>
      <c r="F6" s="146">
        <f>TIME(HOUR(Rainfall[[#This Row],[START]]),MINUTE(Rainfall[[#This Row],[START]]),0)</f>
        <v>0</v>
      </c>
      <c r="G6" s="146">
        <f>TIME(HOUR(Rainfall[[#This Row],[FINISH]]),MINUTE(Rainfall[[#This Row],[FINISH]]),0)</f>
        <v>0</v>
      </c>
      <c r="H6" s="144">
        <f t="shared" si="1"/>
        <v>1</v>
      </c>
      <c r="I6" s="147">
        <f t="shared" si="2"/>
        <v>0</v>
      </c>
      <c r="J6" s="147">
        <f t="shared" si="3"/>
        <v>0</v>
      </c>
      <c r="K6" s="147" t="str">
        <f t="shared" si="4"/>
        <v/>
      </c>
      <c r="L6" s="144"/>
      <c r="M6" s="144"/>
      <c r="N6" s="144"/>
      <c r="O6" s="144"/>
      <c r="P6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" s="144" t="str">
        <f>Rainfall[[#This Row],[AdjR]]</f>
        <v/>
      </c>
      <c r="R6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" s="144" t="str">
        <f>Rainfall[[#This Row],[AdjS]]</f>
        <v/>
      </c>
      <c r="T6" s="105">
        <f>Rainfall[[#This Row],[RAINFALL (mm)]]</f>
        <v>0</v>
      </c>
      <c r="U6" s="105" t="str">
        <f>Rainfall[[#This Row],[DAY]]&amp;Rainfall[[#This Row],[REMARK]]&amp;Rainfall[[#This Row],[CONTRACTOR]]</f>
        <v/>
      </c>
      <c r="V6" s="130" t="str">
        <f>IF(Rainfall[[#This Row],[REMARK]]="Rain",1,"")</f>
        <v/>
      </c>
      <c r="W6" s="105" t="e">
        <f>VLOOKUP($A6,OB!$AO$2:$AR$32,4,0)</f>
        <v>#N/A</v>
      </c>
    </row>
    <row r="7" spans="1:28" ht="14.4">
      <c r="A7" s="144"/>
      <c r="B7" s="144"/>
      <c r="C7" s="144"/>
      <c r="D7" s="145"/>
      <c r="E7" s="145"/>
      <c r="F7" s="146">
        <f>TIME(HOUR(Rainfall[[#This Row],[START]]),MINUTE(Rainfall[[#This Row],[START]]),0)</f>
        <v>0</v>
      </c>
      <c r="G7" s="146">
        <f>TIME(HOUR(Rainfall[[#This Row],[FINISH]]),MINUTE(Rainfall[[#This Row],[FINISH]]),0)</f>
        <v>0</v>
      </c>
      <c r="H7" s="144">
        <f t="shared" si="1"/>
        <v>1</v>
      </c>
      <c r="I7" s="147">
        <f t="shared" si="2"/>
        <v>0</v>
      </c>
      <c r="J7" s="147">
        <f t="shared" si="3"/>
        <v>0</v>
      </c>
      <c r="K7" s="147" t="str">
        <f t="shared" si="4"/>
        <v/>
      </c>
      <c r="L7" s="144"/>
      <c r="M7" s="144"/>
      <c r="N7" s="144"/>
      <c r="O7" s="144"/>
      <c r="P7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7" s="144" t="str">
        <f>Rainfall[[#This Row],[AdjR]]</f>
        <v/>
      </c>
      <c r="R7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7" s="144" t="str">
        <f>Rainfall[[#This Row],[AdjS]]</f>
        <v/>
      </c>
      <c r="T7" s="105">
        <f>Rainfall[[#This Row],[RAINFALL (mm)]]</f>
        <v>0</v>
      </c>
      <c r="U7" s="105" t="str">
        <f>Rainfall[[#This Row],[DAY]]&amp;Rainfall[[#This Row],[REMARK]]&amp;Rainfall[[#This Row],[CONTRACTOR]]</f>
        <v/>
      </c>
      <c r="V7" s="130" t="str">
        <f>IF(Rainfall[[#This Row],[REMARK]]="Rain",1,"")</f>
        <v/>
      </c>
      <c r="W7" s="105" t="e">
        <f>VLOOKUP($A7,OB!$AO$2:$AR$32,4,0)</f>
        <v>#N/A</v>
      </c>
      <c r="Y7" s="105" t="s">
        <v>375</v>
      </c>
    </row>
    <row r="8" spans="1:28" ht="14.4">
      <c r="A8" s="144"/>
      <c r="B8" s="144"/>
      <c r="C8" s="144"/>
      <c r="D8" s="145"/>
      <c r="E8" s="145"/>
      <c r="F8" s="146">
        <f>TIME(HOUR(Rainfall[[#This Row],[START]]),MINUTE(Rainfall[[#This Row],[START]]),0)</f>
        <v>0</v>
      </c>
      <c r="G8" s="146">
        <f>TIME(HOUR(Rainfall[[#This Row],[FINISH]]),MINUTE(Rainfall[[#This Row],[FINISH]]),0)</f>
        <v>0</v>
      </c>
      <c r="H8" s="144">
        <f t="shared" si="1"/>
        <v>1</v>
      </c>
      <c r="I8" s="148">
        <f t="shared" si="2"/>
        <v>0</v>
      </c>
      <c r="J8" s="148">
        <f t="shared" si="3"/>
        <v>0</v>
      </c>
      <c r="K8" s="147" t="str">
        <f t="shared" si="4"/>
        <v/>
      </c>
      <c r="L8" s="144"/>
      <c r="M8" s="144"/>
      <c r="N8" s="144"/>
      <c r="O8" s="144"/>
      <c r="P8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8" s="144" t="str">
        <f>Rainfall[[#This Row],[AdjR]]</f>
        <v/>
      </c>
      <c r="R8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8" s="144" t="str">
        <f>Rainfall[[#This Row],[AdjS]]</f>
        <v/>
      </c>
      <c r="T8" s="144">
        <f>Rainfall[[#This Row],[RAINFALL (mm)]]</f>
        <v>0</v>
      </c>
      <c r="U8" s="144" t="str">
        <f>Rainfall[[#This Row],[DAY]]&amp;Rainfall[[#This Row],[REMARK]]&amp;Rainfall[[#This Row],[CONTRACTOR]]</f>
        <v/>
      </c>
      <c r="V8" s="150" t="str">
        <f>IF(Rainfall[[#This Row],[REMARK]]="Rain",1,"")</f>
        <v/>
      </c>
      <c r="W8" s="105" t="e">
        <f>VLOOKUP($A8,OB!$AO$2:$AR$32,4,0)</f>
        <v>#N/A</v>
      </c>
      <c r="Y8" s="105" t="s">
        <v>369</v>
      </c>
    </row>
    <row r="9" spans="1:28" ht="14.4">
      <c r="A9" s="144"/>
      <c r="B9" s="144"/>
      <c r="C9" s="144"/>
      <c r="D9" s="145"/>
      <c r="E9" s="145"/>
      <c r="F9" s="146">
        <f>TIME(HOUR(Rainfall[[#This Row],[START]]),MINUTE(Rainfall[[#This Row],[START]]),0)</f>
        <v>0</v>
      </c>
      <c r="G9" s="146">
        <f>TIME(HOUR(Rainfall[[#This Row],[FINISH]]),MINUTE(Rainfall[[#This Row],[FINISH]]),0)</f>
        <v>0</v>
      </c>
      <c r="H9" s="144">
        <f t="shared" si="1"/>
        <v>1</v>
      </c>
      <c r="I9" s="148">
        <f t="shared" si="2"/>
        <v>0</v>
      </c>
      <c r="J9" s="148">
        <f t="shared" si="3"/>
        <v>0</v>
      </c>
      <c r="K9" s="147" t="str">
        <f t="shared" si="4"/>
        <v/>
      </c>
      <c r="L9" s="144"/>
      <c r="M9" s="144"/>
      <c r="N9" s="144"/>
      <c r="O9" s="144"/>
      <c r="P9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9" s="144" t="str">
        <f>Rainfall[[#This Row],[AdjR]]</f>
        <v/>
      </c>
      <c r="R9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9" s="144" t="str">
        <f>Rainfall[[#This Row],[AdjS]]</f>
        <v/>
      </c>
      <c r="T9" s="105">
        <f>Rainfall[[#This Row],[RAINFALL (mm)]]</f>
        <v>0</v>
      </c>
      <c r="U9" s="105" t="str">
        <f>Rainfall[[#This Row],[DAY]]&amp;Rainfall[[#This Row],[REMARK]]&amp;Rainfall[[#This Row],[CONTRACTOR]]</f>
        <v/>
      </c>
      <c r="V9" s="130" t="str">
        <f>IF(Rainfall[[#This Row],[REMARK]]="Rain",1,"")</f>
        <v/>
      </c>
      <c r="W9" s="105" t="e">
        <f>VLOOKUP($A9,OB!$AO$2:$AR$32,4,0)</f>
        <v>#N/A</v>
      </c>
      <c r="Y9" s="105" t="s">
        <v>376</v>
      </c>
    </row>
    <row r="10" spans="1:28" ht="14.4">
      <c r="A10" s="144"/>
      <c r="B10" s="144"/>
      <c r="C10" s="144"/>
      <c r="D10" s="145"/>
      <c r="E10" s="145"/>
      <c r="F10" s="146">
        <f>TIME(HOUR(Rainfall[[#This Row],[START]]),MINUTE(Rainfall[[#This Row],[START]]),0)</f>
        <v>0</v>
      </c>
      <c r="G10" s="146">
        <f>TIME(HOUR(Rainfall[[#This Row],[FINISH]]),MINUTE(Rainfall[[#This Row],[FINISH]]),0)</f>
        <v>0</v>
      </c>
      <c r="H10" s="144">
        <f t="shared" si="1"/>
        <v>1</v>
      </c>
      <c r="I10" s="148">
        <f t="shared" si="2"/>
        <v>0</v>
      </c>
      <c r="J10" s="148">
        <f t="shared" si="3"/>
        <v>0</v>
      </c>
      <c r="K10" s="147" t="str">
        <f t="shared" si="4"/>
        <v/>
      </c>
      <c r="L10" s="144"/>
      <c r="M10" s="144"/>
      <c r="N10" s="144"/>
      <c r="O10" s="144"/>
      <c r="P10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0" s="144" t="str">
        <f>Rainfall[[#This Row],[AdjR]]</f>
        <v/>
      </c>
      <c r="R10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0" s="144" t="str">
        <f>Rainfall[[#This Row],[AdjS]]</f>
        <v/>
      </c>
      <c r="T10" s="105">
        <f>Rainfall[[#This Row],[RAINFALL (mm)]]</f>
        <v>0</v>
      </c>
      <c r="U10" s="105" t="str">
        <f>Rainfall[[#This Row],[DAY]]&amp;Rainfall[[#This Row],[REMARK]]&amp;Rainfall[[#This Row],[CONTRACTOR]]</f>
        <v/>
      </c>
      <c r="V10" s="130" t="str">
        <f>IF(Rainfall[[#This Row],[REMARK]]="Rain",1,"")</f>
        <v/>
      </c>
      <c r="W10" s="105" t="e">
        <f>VLOOKUP($A10,OB!$AO$2:$AR$32,4,0)</f>
        <v>#N/A</v>
      </c>
    </row>
    <row r="11" spans="1:28" ht="14.4">
      <c r="A11" s="144"/>
      <c r="B11" s="144"/>
      <c r="C11" s="144"/>
      <c r="D11" s="145"/>
      <c r="E11" s="145"/>
      <c r="F11" s="146">
        <f>TIME(HOUR(Rainfall[[#This Row],[START]]),MINUTE(Rainfall[[#This Row],[START]]),0)</f>
        <v>0</v>
      </c>
      <c r="G11" s="146">
        <f>TIME(HOUR(Rainfall[[#This Row],[FINISH]]),MINUTE(Rainfall[[#This Row],[FINISH]]),0)</f>
        <v>0</v>
      </c>
      <c r="H11" s="144">
        <f t="shared" si="1"/>
        <v>1</v>
      </c>
      <c r="I11" s="148">
        <f t="shared" si="2"/>
        <v>0</v>
      </c>
      <c r="J11" s="148">
        <f t="shared" si="3"/>
        <v>0</v>
      </c>
      <c r="K11" s="147" t="str">
        <f t="shared" si="4"/>
        <v/>
      </c>
      <c r="L11" s="144"/>
      <c r="M11" s="144"/>
      <c r="N11" s="144"/>
      <c r="O11" s="144"/>
      <c r="P11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1" s="144" t="str">
        <f>Rainfall[[#This Row],[AdjR]]</f>
        <v/>
      </c>
      <c r="R11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1" s="144" t="str">
        <f>Rainfall[[#This Row],[AdjS]]</f>
        <v/>
      </c>
      <c r="T11" s="105">
        <f>Rainfall[[#This Row],[RAINFALL (mm)]]</f>
        <v>0</v>
      </c>
      <c r="U11" s="105" t="str">
        <f>Rainfall[[#This Row],[DAY]]&amp;Rainfall[[#This Row],[REMARK]]&amp;Rainfall[[#This Row],[CONTRACTOR]]</f>
        <v/>
      </c>
      <c r="V11" s="130" t="str">
        <f>IF(Rainfall[[#This Row],[REMARK]]="Rain",1,"")</f>
        <v/>
      </c>
      <c r="W11" s="105" t="e">
        <f>VLOOKUP($A11,OB!$AO$2:$AR$32,4,0)</f>
        <v>#N/A</v>
      </c>
    </row>
    <row r="12" spans="1:28" ht="14.4">
      <c r="A12" s="144"/>
      <c r="B12" s="144"/>
      <c r="C12" s="144"/>
      <c r="D12" s="145"/>
      <c r="E12" s="145"/>
      <c r="F12" s="146">
        <f>TIME(HOUR(Rainfall[[#This Row],[START]]),MINUTE(Rainfall[[#This Row],[START]]),0)</f>
        <v>0</v>
      </c>
      <c r="G12" s="146">
        <f>TIME(HOUR(Rainfall[[#This Row],[FINISH]]),MINUTE(Rainfall[[#This Row],[FINISH]]),0)</f>
        <v>0</v>
      </c>
      <c r="H12" s="144">
        <f t="shared" si="1"/>
        <v>1</v>
      </c>
      <c r="I12" s="148">
        <f t="shared" si="2"/>
        <v>0</v>
      </c>
      <c r="J12" s="148">
        <f t="shared" si="3"/>
        <v>0</v>
      </c>
      <c r="K12" s="147" t="str">
        <f t="shared" si="4"/>
        <v/>
      </c>
      <c r="L12" s="144"/>
      <c r="M12" s="144"/>
      <c r="N12" s="144"/>
      <c r="O12" s="144"/>
      <c r="P12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2" s="144" t="str">
        <f>Rainfall[[#This Row],[AdjR]]</f>
        <v/>
      </c>
      <c r="R12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2" s="144" t="str">
        <f>Rainfall[[#This Row],[AdjS]]</f>
        <v/>
      </c>
      <c r="T12" s="144">
        <f>Rainfall[[#This Row],[RAINFALL (mm)]]</f>
        <v>0</v>
      </c>
      <c r="U12" s="144" t="str">
        <f>Rainfall[[#This Row],[DAY]]&amp;Rainfall[[#This Row],[REMARK]]&amp;Rainfall[[#This Row],[CONTRACTOR]]</f>
        <v/>
      </c>
      <c r="V12" s="150" t="str">
        <f>IF(Rainfall[[#This Row],[REMARK]]="Rain",1,"")</f>
        <v/>
      </c>
      <c r="W12" s="105" t="e">
        <f>VLOOKUP($A12,OB!$AO$2:$AR$32,4,0)</f>
        <v>#N/A</v>
      </c>
    </row>
    <row r="13" spans="1:28" ht="14.4">
      <c r="A13" s="144"/>
      <c r="B13" s="144"/>
      <c r="C13" s="144"/>
      <c r="D13" s="145"/>
      <c r="E13" s="145"/>
      <c r="F13" s="146">
        <f>TIME(HOUR(Rainfall[[#This Row],[START]]),MINUTE(Rainfall[[#This Row],[START]]),0)</f>
        <v>0</v>
      </c>
      <c r="G13" s="146">
        <f>TIME(HOUR(Rainfall[[#This Row],[FINISH]]),MINUTE(Rainfall[[#This Row],[FINISH]]),0)</f>
        <v>0</v>
      </c>
      <c r="H13" s="144">
        <f t="shared" si="1"/>
        <v>1</v>
      </c>
      <c r="I13" s="148">
        <f t="shared" si="2"/>
        <v>0</v>
      </c>
      <c r="J13" s="148">
        <f t="shared" si="3"/>
        <v>0</v>
      </c>
      <c r="K13" s="147" t="str">
        <f t="shared" si="4"/>
        <v/>
      </c>
      <c r="L13" s="144"/>
      <c r="N13" s="144"/>
      <c r="O13" s="144"/>
      <c r="P13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3" s="144" t="str">
        <f>Rainfall[[#This Row],[AdjR]]</f>
        <v/>
      </c>
      <c r="R13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3" s="144" t="str">
        <f>Rainfall[[#This Row],[AdjS]]</f>
        <v/>
      </c>
      <c r="T13" s="105">
        <f>Rainfall[[#This Row],[RAINFALL (mm)]]</f>
        <v>0</v>
      </c>
      <c r="U13" s="105" t="str">
        <f>Rainfall[[#This Row],[DAY]]&amp;Rainfall[[#This Row],[REMARK]]&amp;Rainfall[[#This Row],[CONTRACTOR]]</f>
        <v/>
      </c>
      <c r="V13" s="130" t="str">
        <f>IF(Rainfall[[#This Row],[REMARK]]="Rain",1,"")</f>
        <v/>
      </c>
      <c r="W13" s="105" t="e">
        <f>VLOOKUP($A13,OB!$AO$2:$AR$32,4,0)</f>
        <v>#N/A</v>
      </c>
    </row>
    <row r="14" spans="1:28" ht="14.4">
      <c r="A14" s="144"/>
      <c r="B14" s="144"/>
      <c r="C14" s="144"/>
      <c r="D14" s="145"/>
      <c r="E14" s="145"/>
      <c r="F14" s="146">
        <f>TIME(HOUR(Rainfall[[#This Row],[START]]),MINUTE(Rainfall[[#This Row],[START]]),0)</f>
        <v>0</v>
      </c>
      <c r="G14" s="146">
        <f>TIME(HOUR(Rainfall[[#This Row],[FINISH]]),MINUTE(Rainfall[[#This Row],[FINISH]]),0)</f>
        <v>0</v>
      </c>
      <c r="H14" s="144">
        <f t="shared" si="1"/>
        <v>1</v>
      </c>
      <c r="I14" s="148">
        <f t="shared" si="2"/>
        <v>0</v>
      </c>
      <c r="J14" s="148">
        <f t="shared" si="3"/>
        <v>0</v>
      </c>
      <c r="K14" s="147" t="str">
        <f t="shared" si="4"/>
        <v/>
      </c>
      <c r="L14" s="144"/>
      <c r="N14" s="144"/>
      <c r="O14" s="144"/>
      <c r="P14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4" s="144" t="str">
        <f>Rainfall[[#This Row],[AdjR]]</f>
        <v/>
      </c>
      <c r="R14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4" s="144" t="str">
        <f>Rainfall[[#This Row],[AdjS]]</f>
        <v/>
      </c>
      <c r="T14" s="105">
        <f>Rainfall[[#This Row],[RAINFALL (mm)]]</f>
        <v>0</v>
      </c>
      <c r="U14" s="105" t="str">
        <f>Rainfall[[#This Row],[DAY]]&amp;Rainfall[[#This Row],[REMARK]]&amp;Rainfall[[#This Row],[CONTRACTOR]]</f>
        <v/>
      </c>
      <c r="V14" s="130" t="str">
        <f>IF(Rainfall[[#This Row],[REMARK]]="Rain",1,"")</f>
        <v/>
      </c>
      <c r="W14" s="105" t="e">
        <f>VLOOKUP($A14,OB!$AO$2:$AR$32,4,0)</f>
        <v>#N/A</v>
      </c>
    </row>
    <row r="15" spans="1:28" ht="14.4">
      <c r="A15" s="144"/>
      <c r="B15" s="144"/>
      <c r="C15" s="144"/>
      <c r="D15" s="145"/>
      <c r="E15" s="145"/>
      <c r="F15" s="146">
        <f>TIME(HOUR(Rainfall[[#This Row],[START]]),MINUTE(Rainfall[[#This Row],[START]]),0)</f>
        <v>0</v>
      </c>
      <c r="G15" s="146">
        <f>TIME(HOUR(Rainfall[[#This Row],[FINISH]]),MINUTE(Rainfall[[#This Row],[FINISH]]),0)</f>
        <v>0</v>
      </c>
      <c r="H15" s="144">
        <f t="shared" si="1"/>
        <v>1</v>
      </c>
      <c r="I15" s="148">
        <f t="shared" si="2"/>
        <v>0</v>
      </c>
      <c r="J15" s="148">
        <f t="shared" si="3"/>
        <v>0</v>
      </c>
      <c r="K15" s="147" t="str">
        <f t="shared" si="4"/>
        <v/>
      </c>
      <c r="L15" s="144"/>
      <c r="M15" s="144"/>
      <c r="N15" s="144"/>
      <c r="O15" s="144"/>
      <c r="P15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5" s="144" t="str">
        <f>Rainfall[[#This Row],[AdjR]]</f>
        <v/>
      </c>
      <c r="R15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5" s="144" t="str">
        <f>Rainfall[[#This Row],[AdjS]]</f>
        <v/>
      </c>
      <c r="T15" s="144">
        <f>Rainfall[[#This Row],[RAINFALL (mm)]]</f>
        <v>0</v>
      </c>
      <c r="U15" s="144" t="str">
        <f>Rainfall[[#This Row],[DAY]]&amp;Rainfall[[#This Row],[REMARK]]&amp;Rainfall[[#This Row],[CONTRACTOR]]</f>
        <v/>
      </c>
      <c r="V15" s="150" t="str">
        <f>IF(Rainfall[[#This Row],[REMARK]]="Rain",1,"")</f>
        <v/>
      </c>
      <c r="W15" s="105" t="e">
        <f>VLOOKUP($A15,OB!$AO$2:$AR$32,4,0)</f>
        <v>#N/A</v>
      </c>
    </row>
    <row r="16" spans="1:28" ht="14.4">
      <c r="A16" s="144"/>
      <c r="B16" s="144"/>
      <c r="C16" s="144"/>
      <c r="D16" s="145"/>
      <c r="E16" s="145"/>
      <c r="F16" s="146">
        <f>TIME(HOUR(Rainfall[[#This Row],[START]]),MINUTE(Rainfall[[#This Row],[START]]),0)</f>
        <v>0</v>
      </c>
      <c r="G16" s="146">
        <f>TIME(HOUR(Rainfall[[#This Row],[FINISH]]),MINUTE(Rainfall[[#This Row],[FINISH]]),0)</f>
        <v>0</v>
      </c>
      <c r="H16" s="144">
        <f t="shared" si="1"/>
        <v>1</v>
      </c>
      <c r="I16" s="148">
        <f t="shared" si="2"/>
        <v>0</v>
      </c>
      <c r="J16" s="148">
        <f t="shared" si="3"/>
        <v>0</v>
      </c>
      <c r="K16" s="147" t="str">
        <f t="shared" si="4"/>
        <v/>
      </c>
      <c r="L16" s="144"/>
      <c r="M16" s="144"/>
      <c r="N16" s="144"/>
      <c r="O16" s="144"/>
      <c r="P16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6" s="144" t="str">
        <f>Rainfall[[#This Row],[AdjR]]</f>
        <v/>
      </c>
      <c r="R16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6" s="144" t="str">
        <f>Rainfall[[#This Row],[AdjS]]</f>
        <v/>
      </c>
      <c r="T16" s="105">
        <f>Rainfall[[#This Row],[RAINFALL (mm)]]</f>
        <v>0</v>
      </c>
      <c r="U16" s="105" t="str">
        <f>Rainfall[[#This Row],[DAY]]&amp;Rainfall[[#This Row],[REMARK]]&amp;Rainfall[[#This Row],[CONTRACTOR]]</f>
        <v/>
      </c>
      <c r="V16" s="130" t="str">
        <f>IF(Rainfall[[#This Row],[REMARK]]="Rain",1,"")</f>
        <v/>
      </c>
      <c r="W16" s="105" t="e">
        <f>VLOOKUP($A16,OB!$AO$2:$AR$32,4,0)</f>
        <v>#N/A</v>
      </c>
    </row>
    <row r="17" spans="1:23" ht="14.4">
      <c r="A17" s="144"/>
      <c r="B17" s="144"/>
      <c r="C17" s="144"/>
      <c r="D17" s="145"/>
      <c r="E17" s="145"/>
      <c r="F17" s="146">
        <f>TIME(HOUR(Rainfall[[#This Row],[START]]),MINUTE(Rainfall[[#This Row],[START]]),0)</f>
        <v>0</v>
      </c>
      <c r="G17" s="146">
        <f>TIME(HOUR(Rainfall[[#This Row],[FINISH]]),MINUTE(Rainfall[[#This Row],[FINISH]]),0)</f>
        <v>0</v>
      </c>
      <c r="H17" s="144">
        <f t="shared" si="1"/>
        <v>1</v>
      </c>
      <c r="I17" s="148">
        <f t="shared" si="2"/>
        <v>0</v>
      </c>
      <c r="J17" s="148">
        <f t="shared" si="3"/>
        <v>0</v>
      </c>
      <c r="K17" s="147" t="str">
        <f t="shared" si="4"/>
        <v/>
      </c>
      <c r="L17" s="144"/>
      <c r="M17" s="144"/>
      <c r="N17" s="144"/>
      <c r="O17" s="144"/>
      <c r="P17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7" s="144" t="str">
        <f>Rainfall[[#This Row],[AdjR]]</f>
        <v/>
      </c>
      <c r="R17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7" s="144" t="str">
        <f>Rainfall[[#This Row],[AdjS]]</f>
        <v/>
      </c>
      <c r="T17" s="105">
        <f>Rainfall[[#This Row],[RAINFALL (mm)]]</f>
        <v>0</v>
      </c>
      <c r="U17" s="105" t="str">
        <f>Rainfall[[#This Row],[DAY]]&amp;Rainfall[[#This Row],[REMARK]]&amp;Rainfall[[#This Row],[CONTRACTOR]]</f>
        <v/>
      </c>
      <c r="V17" s="130" t="str">
        <f>IF(Rainfall[[#This Row],[REMARK]]="Rain",1,"")</f>
        <v/>
      </c>
      <c r="W17" s="105" t="e">
        <f>VLOOKUP($A17,OB!$AO$2:$AR$32,4,0)</f>
        <v>#N/A</v>
      </c>
    </row>
    <row r="18" spans="1:23" ht="14.4">
      <c r="A18" s="144"/>
      <c r="B18" s="144"/>
      <c r="C18" s="144"/>
      <c r="D18" s="145"/>
      <c r="E18" s="145"/>
      <c r="F18" s="146">
        <f>TIME(HOUR(Rainfall[[#This Row],[START]]),MINUTE(Rainfall[[#This Row],[START]]),0)</f>
        <v>0</v>
      </c>
      <c r="G18" s="146">
        <f>TIME(HOUR(Rainfall[[#This Row],[FINISH]]),MINUTE(Rainfall[[#This Row],[FINISH]]),0)</f>
        <v>0</v>
      </c>
      <c r="H18" s="144">
        <f t="shared" si="1"/>
        <v>1</v>
      </c>
      <c r="I18" s="148">
        <f t="shared" si="2"/>
        <v>0</v>
      </c>
      <c r="J18" s="148">
        <f t="shared" si="3"/>
        <v>0</v>
      </c>
      <c r="K18" s="147" t="str">
        <f t="shared" si="4"/>
        <v/>
      </c>
      <c r="L18" s="144"/>
      <c r="M18" s="144"/>
      <c r="N18" s="144"/>
      <c r="O18" s="144"/>
      <c r="P18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8" s="144" t="str">
        <f>Rainfall[[#This Row],[AdjR]]</f>
        <v/>
      </c>
      <c r="R18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8" s="144" t="str">
        <f>Rainfall[[#This Row],[AdjS]]</f>
        <v/>
      </c>
      <c r="T18" s="105">
        <f>Rainfall[[#This Row],[RAINFALL (mm)]]</f>
        <v>0</v>
      </c>
      <c r="U18" s="105" t="str">
        <f>Rainfall[[#This Row],[DAY]]&amp;Rainfall[[#This Row],[REMARK]]&amp;Rainfall[[#This Row],[CONTRACTOR]]</f>
        <v/>
      </c>
      <c r="V18" s="130" t="str">
        <f>IF(Rainfall[[#This Row],[REMARK]]="Rain",1,"")</f>
        <v/>
      </c>
      <c r="W18" s="105" t="e">
        <f>VLOOKUP($A18,OB!$AO$2:$AR$32,4,0)</f>
        <v>#N/A</v>
      </c>
    </row>
    <row r="19" spans="1:23" ht="14.4">
      <c r="A19" s="144"/>
      <c r="B19" s="144"/>
      <c r="C19" s="144"/>
      <c r="D19" s="145"/>
      <c r="E19" s="145"/>
      <c r="F19" s="146">
        <f>TIME(HOUR(Rainfall[[#This Row],[START]]),MINUTE(Rainfall[[#This Row],[START]]),0)</f>
        <v>0</v>
      </c>
      <c r="G19" s="146">
        <f>TIME(HOUR(Rainfall[[#This Row],[FINISH]]),MINUTE(Rainfall[[#This Row],[FINISH]]),0)</f>
        <v>0</v>
      </c>
      <c r="H19" s="144">
        <f t="shared" si="1"/>
        <v>1</v>
      </c>
      <c r="I19" s="148">
        <f t="shared" si="2"/>
        <v>0</v>
      </c>
      <c r="J19" s="148">
        <f t="shared" si="3"/>
        <v>0</v>
      </c>
      <c r="K19" s="147" t="str">
        <f t="shared" si="4"/>
        <v/>
      </c>
      <c r="L19" s="144"/>
      <c r="M19" s="144"/>
      <c r="N19" s="144"/>
      <c r="O19" s="144"/>
      <c r="P19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19" s="144" t="str">
        <f>Rainfall[[#This Row],[AdjR]]</f>
        <v/>
      </c>
      <c r="R19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19" s="144" t="str">
        <f>Rainfall[[#This Row],[AdjS]]</f>
        <v/>
      </c>
      <c r="T19" s="144">
        <f>Rainfall[[#This Row],[RAINFALL (mm)]]</f>
        <v>0</v>
      </c>
      <c r="U19" s="144" t="str">
        <f>Rainfall[[#This Row],[DAY]]&amp;Rainfall[[#This Row],[REMARK]]&amp;Rainfall[[#This Row],[CONTRACTOR]]</f>
        <v/>
      </c>
      <c r="V19" s="150" t="str">
        <f>IF(Rainfall[[#This Row],[REMARK]]="Rain",1,"")</f>
        <v/>
      </c>
      <c r="W19" s="105" t="e">
        <f>VLOOKUP($A19,OB!$AO$2:$AR$32,4,0)</f>
        <v>#N/A</v>
      </c>
    </row>
    <row r="20" spans="1:23" ht="14.4">
      <c r="A20" s="144"/>
      <c r="B20" s="144"/>
      <c r="C20" s="144"/>
      <c r="D20" s="145"/>
      <c r="E20" s="145"/>
      <c r="F20" s="146">
        <f>TIME(HOUR(Rainfall[[#This Row],[START]]),MINUTE(Rainfall[[#This Row],[START]]),0)</f>
        <v>0</v>
      </c>
      <c r="G20" s="146">
        <f>TIME(HOUR(Rainfall[[#This Row],[FINISH]]),MINUTE(Rainfall[[#This Row],[FINISH]]),0)</f>
        <v>0</v>
      </c>
      <c r="H20" s="144">
        <f t="shared" si="1"/>
        <v>1</v>
      </c>
      <c r="I20" s="148">
        <f t="shared" si="2"/>
        <v>0</v>
      </c>
      <c r="J20" s="148">
        <f t="shared" si="3"/>
        <v>0</v>
      </c>
      <c r="K20" s="147" t="str">
        <f t="shared" si="4"/>
        <v/>
      </c>
      <c r="L20" s="144"/>
      <c r="M20" s="144"/>
      <c r="N20" s="144"/>
      <c r="O20" s="144"/>
      <c r="P20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0" s="144" t="str">
        <f>Rainfall[[#This Row],[AdjR]]</f>
        <v/>
      </c>
      <c r="R20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0" s="144" t="str">
        <f>Rainfall[[#This Row],[AdjS]]</f>
        <v/>
      </c>
      <c r="T20" s="105">
        <f>Rainfall[[#This Row],[RAINFALL (mm)]]</f>
        <v>0</v>
      </c>
      <c r="U20" s="105" t="str">
        <f>Rainfall[[#This Row],[DAY]]&amp;Rainfall[[#This Row],[REMARK]]&amp;Rainfall[[#This Row],[CONTRACTOR]]</f>
        <v/>
      </c>
      <c r="V20" s="130" t="str">
        <f>IF(Rainfall[[#This Row],[REMARK]]="Rain",1,"")</f>
        <v/>
      </c>
      <c r="W20" s="105" t="e">
        <f>VLOOKUP($A20,OB!$AO$2:$AR$32,4,0)</f>
        <v>#N/A</v>
      </c>
    </row>
    <row r="21" spans="1:23" ht="14.4">
      <c r="A21" s="144"/>
      <c r="B21" s="144"/>
      <c r="C21" s="144"/>
      <c r="D21" s="145"/>
      <c r="E21" s="145"/>
      <c r="F21" s="146">
        <f>TIME(HOUR(Rainfall[[#This Row],[START]]),MINUTE(Rainfall[[#This Row],[START]]),0)</f>
        <v>0</v>
      </c>
      <c r="G21" s="146">
        <f>TIME(HOUR(Rainfall[[#This Row],[FINISH]]),MINUTE(Rainfall[[#This Row],[FINISH]]),0)</f>
        <v>0</v>
      </c>
      <c r="H21" s="144">
        <f t="shared" si="1"/>
        <v>1</v>
      </c>
      <c r="I21" s="147">
        <f t="shared" si="2"/>
        <v>0</v>
      </c>
      <c r="J21" s="147">
        <f t="shared" si="3"/>
        <v>0</v>
      </c>
      <c r="K21" s="147" t="str">
        <f t="shared" si="4"/>
        <v/>
      </c>
      <c r="L21" s="144"/>
      <c r="M21" s="144"/>
      <c r="N21" s="144"/>
      <c r="O21" s="144"/>
      <c r="P21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1" s="144" t="str">
        <f>Rainfall[[#This Row],[AdjR]]</f>
        <v/>
      </c>
      <c r="R21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1" s="144" t="str">
        <f>Rainfall[[#This Row],[AdjS]]</f>
        <v/>
      </c>
      <c r="T21" s="144">
        <f>Rainfall[[#This Row],[RAINFALL (mm)]]</f>
        <v>0</v>
      </c>
      <c r="U21" s="144" t="str">
        <f>Rainfall[[#This Row],[DAY]]&amp;Rainfall[[#This Row],[REMARK]]&amp;Rainfall[[#This Row],[CONTRACTOR]]</f>
        <v/>
      </c>
      <c r="V21" s="150" t="str">
        <f>IF(Rainfall[[#This Row],[REMARK]]="Rain",1,"")</f>
        <v/>
      </c>
      <c r="W21" s="105" t="e">
        <f>VLOOKUP($A21,OB!$AO$2:$AR$32,4,0)</f>
        <v>#N/A</v>
      </c>
    </row>
    <row r="22" spans="1:23" ht="14.4">
      <c r="A22" s="144"/>
      <c r="B22" s="144"/>
      <c r="C22" s="144"/>
      <c r="D22" s="145"/>
      <c r="E22" s="145"/>
      <c r="F22" s="146">
        <f>TIME(HOUR(Rainfall[[#This Row],[START]]),MINUTE(Rainfall[[#This Row],[START]]),0)</f>
        <v>0</v>
      </c>
      <c r="G22" s="146">
        <f>TIME(HOUR(Rainfall[[#This Row],[FINISH]]),MINUTE(Rainfall[[#This Row],[FINISH]]),0)</f>
        <v>0</v>
      </c>
      <c r="H22" s="144">
        <f t="shared" si="1"/>
        <v>1</v>
      </c>
      <c r="I22" s="147">
        <f t="shared" si="2"/>
        <v>0</v>
      </c>
      <c r="J22" s="147">
        <f t="shared" si="3"/>
        <v>0</v>
      </c>
      <c r="K22" s="147" t="str">
        <f t="shared" si="4"/>
        <v/>
      </c>
      <c r="L22" s="144"/>
      <c r="M22" s="144"/>
      <c r="N22" s="144"/>
      <c r="O22" s="144"/>
      <c r="P22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2" s="144" t="str">
        <f>Rainfall[[#This Row],[AdjR]]</f>
        <v/>
      </c>
      <c r="R22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2" s="144" t="str">
        <f>Rainfall[[#This Row],[AdjS]]</f>
        <v/>
      </c>
      <c r="T22" s="105">
        <f>Rainfall[[#This Row],[RAINFALL (mm)]]</f>
        <v>0</v>
      </c>
      <c r="U22" s="105" t="str">
        <f>Rainfall[[#This Row],[DAY]]&amp;Rainfall[[#This Row],[REMARK]]&amp;Rainfall[[#This Row],[CONTRACTOR]]</f>
        <v/>
      </c>
      <c r="V22" s="130" t="str">
        <f>IF(Rainfall[[#This Row],[REMARK]]="Rain",1,"")</f>
        <v/>
      </c>
      <c r="W22" s="105" t="e">
        <f>VLOOKUP($A22,OB!$AO$2:$AR$32,4,0)</f>
        <v>#N/A</v>
      </c>
    </row>
    <row r="23" spans="1:23" ht="14.4">
      <c r="A23" s="144"/>
      <c r="B23" s="144"/>
      <c r="C23" s="144"/>
      <c r="D23" s="145"/>
      <c r="E23" s="145"/>
      <c r="F23" s="146">
        <f>TIME(HOUR(Rainfall[[#This Row],[START]]),MINUTE(Rainfall[[#This Row],[START]]),0)</f>
        <v>0</v>
      </c>
      <c r="G23" s="146">
        <f>TIME(HOUR(Rainfall[[#This Row],[FINISH]]),MINUTE(Rainfall[[#This Row],[FINISH]]),0)</f>
        <v>0</v>
      </c>
      <c r="H23" s="144">
        <f t="shared" si="1"/>
        <v>1</v>
      </c>
      <c r="I23" s="147">
        <f t="shared" si="2"/>
        <v>0</v>
      </c>
      <c r="J23" s="147">
        <f t="shared" si="3"/>
        <v>0</v>
      </c>
      <c r="K23" s="147" t="str">
        <f t="shared" si="4"/>
        <v/>
      </c>
      <c r="L23" s="144"/>
      <c r="M23" s="144"/>
      <c r="N23" s="144"/>
      <c r="O23" s="144"/>
      <c r="P23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3" s="144" t="str">
        <f>Rainfall[[#This Row],[AdjR]]</f>
        <v/>
      </c>
      <c r="R23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3" s="144" t="str">
        <f>Rainfall[[#This Row],[AdjS]]</f>
        <v/>
      </c>
      <c r="T23" s="105">
        <f>Rainfall[[#This Row],[RAINFALL (mm)]]</f>
        <v>0</v>
      </c>
      <c r="U23" s="105" t="str">
        <f>Rainfall[[#This Row],[DAY]]&amp;Rainfall[[#This Row],[REMARK]]&amp;Rainfall[[#This Row],[CONTRACTOR]]</f>
        <v/>
      </c>
      <c r="V23" s="130" t="str">
        <f>IF(Rainfall[[#This Row],[REMARK]]="Rain",1,"")</f>
        <v/>
      </c>
      <c r="W23" s="105" t="e">
        <f>VLOOKUP($A23,OB!$AO$2:$AR$32,4,0)</f>
        <v>#N/A</v>
      </c>
    </row>
    <row r="24" spans="1:23" ht="14.4">
      <c r="A24" s="144"/>
      <c r="B24" s="144"/>
      <c r="C24" s="144"/>
      <c r="D24" s="145"/>
      <c r="E24" s="145"/>
      <c r="F24" s="146">
        <f>TIME(HOUR(Rainfall[[#This Row],[START]]),MINUTE(Rainfall[[#This Row],[START]]),0)</f>
        <v>0</v>
      </c>
      <c r="G24" s="146">
        <f>TIME(HOUR(Rainfall[[#This Row],[FINISH]]),MINUTE(Rainfall[[#This Row],[FINISH]]),0)</f>
        <v>0</v>
      </c>
      <c r="H24" s="144">
        <f t="shared" si="1"/>
        <v>1</v>
      </c>
      <c r="I24" s="147">
        <f t="shared" si="2"/>
        <v>0</v>
      </c>
      <c r="J24" s="147">
        <f t="shared" si="3"/>
        <v>0</v>
      </c>
      <c r="K24" s="147" t="str">
        <f t="shared" si="4"/>
        <v/>
      </c>
      <c r="L24" s="144"/>
      <c r="M24" s="144"/>
      <c r="N24" s="144"/>
      <c r="O24" s="144"/>
      <c r="P24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4" s="144" t="str">
        <f>Rainfall[[#This Row],[AdjR]]</f>
        <v/>
      </c>
      <c r="R24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4" s="144" t="str">
        <f>Rainfall[[#This Row],[AdjS]]</f>
        <v/>
      </c>
      <c r="T24" s="105">
        <f>Rainfall[[#This Row],[RAINFALL (mm)]]</f>
        <v>0</v>
      </c>
      <c r="U24" s="105" t="str">
        <f>Rainfall[[#This Row],[DAY]]&amp;Rainfall[[#This Row],[REMARK]]&amp;Rainfall[[#This Row],[CONTRACTOR]]</f>
        <v/>
      </c>
      <c r="V24" s="130" t="str">
        <f>IF(Rainfall[[#This Row],[REMARK]]="Rain",1,"")</f>
        <v/>
      </c>
      <c r="W24" s="105" t="e">
        <f>VLOOKUP($A24,OB!$AO$2:$AR$32,4,0)</f>
        <v>#N/A</v>
      </c>
    </row>
    <row r="25" spans="1:23" ht="14.4">
      <c r="A25" s="144"/>
      <c r="B25" s="144"/>
      <c r="C25" s="144"/>
      <c r="D25" s="145"/>
      <c r="E25" s="145"/>
      <c r="F25" s="146">
        <f>TIME(HOUR(Rainfall[[#This Row],[START]]),MINUTE(Rainfall[[#This Row],[START]]),0)</f>
        <v>0</v>
      </c>
      <c r="G25" s="146">
        <f>TIME(HOUR(Rainfall[[#This Row],[FINISH]]),MINUTE(Rainfall[[#This Row],[FINISH]]),0)</f>
        <v>0</v>
      </c>
      <c r="H25" s="144">
        <f t="shared" si="1"/>
        <v>1</v>
      </c>
      <c r="I25" s="148">
        <f t="shared" si="2"/>
        <v>0</v>
      </c>
      <c r="J25" s="148">
        <f t="shared" si="3"/>
        <v>0</v>
      </c>
      <c r="K25" s="147" t="str">
        <f t="shared" si="4"/>
        <v/>
      </c>
      <c r="L25" s="144"/>
      <c r="M25" s="144"/>
      <c r="N25" s="144"/>
      <c r="O25" s="144"/>
      <c r="P25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5" s="144" t="str">
        <f>Rainfall[[#This Row],[AdjR]]</f>
        <v/>
      </c>
      <c r="R25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5" s="144" t="str">
        <f>Rainfall[[#This Row],[AdjS]]</f>
        <v/>
      </c>
      <c r="T25" s="144">
        <f>Rainfall[[#This Row],[RAINFALL (mm)]]</f>
        <v>0</v>
      </c>
      <c r="U25" s="144" t="str">
        <f>Rainfall[[#This Row],[DAY]]&amp;Rainfall[[#This Row],[REMARK]]&amp;Rainfall[[#This Row],[CONTRACTOR]]</f>
        <v/>
      </c>
      <c r="V25" s="150" t="str">
        <f>IF(Rainfall[[#This Row],[REMARK]]="Rain",1,"")</f>
        <v/>
      </c>
      <c r="W25" s="105" t="e">
        <f>VLOOKUP($A25,OB!$AO$2:$AR$32,4,0)</f>
        <v>#N/A</v>
      </c>
    </row>
    <row r="26" spans="1:23" ht="14.4">
      <c r="A26" s="144"/>
      <c r="B26" s="144"/>
      <c r="C26" s="144"/>
      <c r="D26" s="145"/>
      <c r="E26" s="145"/>
      <c r="F26" s="146">
        <f>TIME(HOUR(Rainfall[[#This Row],[START]]),MINUTE(Rainfall[[#This Row],[START]]),0)</f>
        <v>0</v>
      </c>
      <c r="G26" s="146">
        <f>TIME(HOUR(Rainfall[[#This Row],[FINISH]]),MINUTE(Rainfall[[#This Row],[FINISH]]),0)</f>
        <v>0</v>
      </c>
      <c r="H26" s="144">
        <f t="shared" si="1"/>
        <v>1</v>
      </c>
      <c r="I26" s="148">
        <f t="shared" si="2"/>
        <v>0</v>
      </c>
      <c r="J26" s="148">
        <f t="shared" si="3"/>
        <v>0</v>
      </c>
      <c r="K26" s="147" t="str">
        <f t="shared" si="4"/>
        <v/>
      </c>
      <c r="L26" s="144"/>
      <c r="M26" s="144"/>
      <c r="N26" s="144"/>
      <c r="O26" s="144"/>
      <c r="P26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6" s="144" t="str">
        <f>Rainfall[[#This Row],[AdjR]]</f>
        <v/>
      </c>
      <c r="R26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6" s="144" t="str">
        <f>Rainfall[[#This Row],[AdjS]]</f>
        <v/>
      </c>
      <c r="T26" s="105">
        <f>Rainfall[[#This Row],[RAINFALL (mm)]]</f>
        <v>0</v>
      </c>
      <c r="U26" s="105" t="str">
        <f>Rainfall[[#This Row],[DAY]]&amp;Rainfall[[#This Row],[REMARK]]&amp;Rainfall[[#This Row],[CONTRACTOR]]</f>
        <v/>
      </c>
      <c r="V26" s="130" t="str">
        <f>IF(Rainfall[[#This Row],[REMARK]]="Rain",1,"")</f>
        <v/>
      </c>
      <c r="W26" s="105" t="e">
        <f>VLOOKUP($A26,OB!$AO$2:$AR$32,4,0)</f>
        <v>#N/A</v>
      </c>
    </row>
    <row r="27" spans="1:23" ht="14.4">
      <c r="A27" s="144"/>
      <c r="B27" s="144"/>
      <c r="C27" s="144"/>
      <c r="D27" s="145"/>
      <c r="E27" s="145"/>
      <c r="F27" s="146">
        <f>TIME(HOUR(Rainfall[[#This Row],[START]]),MINUTE(Rainfall[[#This Row],[START]]),0)</f>
        <v>0</v>
      </c>
      <c r="G27" s="146">
        <f>TIME(HOUR(Rainfall[[#This Row],[FINISH]]),MINUTE(Rainfall[[#This Row],[FINISH]]),0)</f>
        <v>0</v>
      </c>
      <c r="H27" s="144">
        <f t="shared" si="1"/>
        <v>1</v>
      </c>
      <c r="I27" s="148">
        <f t="shared" si="2"/>
        <v>0</v>
      </c>
      <c r="J27" s="148">
        <f t="shared" si="3"/>
        <v>0</v>
      </c>
      <c r="K27" s="147" t="str">
        <f t="shared" si="4"/>
        <v/>
      </c>
      <c r="L27" s="144"/>
      <c r="M27" s="144"/>
      <c r="N27" s="144"/>
      <c r="O27" s="144"/>
      <c r="P27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7" s="144" t="str">
        <f>Rainfall[[#This Row],[AdjR]]</f>
        <v/>
      </c>
      <c r="R27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7" s="144" t="str">
        <f>Rainfall[[#This Row],[AdjS]]</f>
        <v/>
      </c>
      <c r="T27" s="144">
        <f>Rainfall[[#This Row],[RAINFALL (mm)]]</f>
        <v>0</v>
      </c>
      <c r="U27" s="144" t="str">
        <f>Rainfall[[#This Row],[DAY]]&amp;Rainfall[[#This Row],[REMARK]]&amp;Rainfall[[#This Row],[CONTRACTOR]]</f>
        <v/>
      </c>
      <c r="V27" s="150" t="str">
        <f>IF(Rainfall[[#This Row],[REMARK]]="Rain",1,"")</f>
        <v/>
      </c>
      <c r="W27" s="105" t="e">
        <f>VLOOKUP($A27,OB!$AO$2:$AR$32,4,0)</f>
        <v>#N/A</v>
      </c>
    </row>
    <row r="28" spans="1:23" ht="14.4">
      <c r="A28" s="144"/>
      <c r="B28" s="144"/>
      <c r="C28" s="144"/>
      <c r="D28" s="145"/>
      <c r="E28" s="145"/>
      <c r="F28" s="146">
        <f>TIME(HOUR(Rainfall[[#This Row],[START]]),MINUTE(Rainfall[[#This Row],[START]]),0)</f>
        <v>0</v>
      </c>
      <c r="G28" s="146">
        <f>TIME(HOUR(Rainfall[[#This Row],[FINISH]]),MINUTE(Rainfall[[#This Row],[FINISH]]),0)</f>
        <v>0</v>
      </c>
      <c r="H28" s="144">
        <f t="shared" si="1"/>
        <v>1</v>
      </c>
      <c r="I28" s="148">
        <f t="shared" si="2"/>
        <v>0</v>
      </c>
      <c r="J28" s="148">
        <f t="shared" si="3"/>
        <v>0</v>
      </c>
      <c r="K28" s="147" t="str">
        <f t="shared" si="4"/>
        <v/>
      </c>
      <c r="L28" s="144"/>
      <c r="M28" s="144"/>
      <c r="N28" s="144"/>
      <c r="O28" s="144"/>
      <c r="P28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8" s="144" t="str">
        <f>Rainfall[[#This Row],[AdjR]]</f>
        <v/>
      </c>
      <c r="R28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8" s="144" t="str">
        <f>Rainfall[[#This Row],[AdjS]]</f>
        <v/>
      </c>
      <c r="T28" s="105">
        <f>Rainfall[[#This Row],[RAINFALL (mm)]]</f>
        <v>0</v>
      </c>
      <c r="U28" s="105" t="str">
        <f>Rainfall[[#This Row],[DAY]]&amp;Rainfall[[#This Row],[REMARK]]&amp;Rainfall[[#This Row],[CONTRACTOR]]</f>
        <v/>
      </c>
      <c r="V28" s="130" t="str">
        <f>IF(Rainfall[[#This Row],[REMARK]]="Rain",1,"")</f>
        <v/>
      </c>
      <c r="W28" s="105" t="e">
        <f>VLOOKUP($A28,OB!$AO$2:$AR$32,4,0)</f>
        <v>#N/A</v>
      </c>
    </row>
    <row r="29" spans="1:23" ht="14.4">
      <c r="A29" s="144"/>
      <c r="B29" s="144"/>
      <c r="C29" s="144"/>
      <c r="D29" s="145"/>
      <c r="E29" s="145"/>
      <c r="F29" s="146">
        <f>TIME(HOUR(Rainfall[[#This Row],[START]]),MINUTE(Rainfall[[#This Row],[START]]),0)</f>
        <v>0</v>
      </c>
      <c r="G29" s="146">
        <f>TIME(HOUR(Rainfall[[#This Row],[FINISH]]),MINUTE(Rainfall[[#This Row],[FINISH]]),0)</f>
        <v>0</v>
      </c>
      <c r="H29" s="144">
        <f t="shared" si="1"/>
        <v>1</v>
      </c>
      <c r="I29" s="148">
        <f t="shared" si="2"/>
        <v>0</v>
      </c>
      <c r="J29" s="148">
        <f t="shared" si="3"/>
        <v>0</v>
      </c>
      <c r="K29" s="147" t="str">
        <f t="shared" si="4"/>
        <v/>
      </c>
      <c r="L29" s="144"/>
      <c r="M29" s="144"/>
      <c r="N29" s="144"/>
      <c r="O29" s="144"/>
      <c r="P29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29" s="144" t="str">
        <f>Rainfall[[#This Row],[AdjR]]</f>
        <v/>
      </c>
      <c r="R29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29" s="144" t="str">
        <f>Rainfall[[#This Row],[AdjS]]</f>
        <v/>
      </c>
      <c r="T29" s="105">
        <f>Rainfall[[#This Row],[RAINFALL (mm)]]</f>
        <v>0</v>
      </c>
      <c r="U29" s="105" t="str">
        <f>Rainfall[[#This Row],[DAY]]&amp;Rainfall[[#This Row],[REMARK]]&amp;Rainfall[[#This Row],[CONTRACTOR]]</f>
        <v/>
      </c>
      <c r="V29" s="130" t="str">
        <f>IF(Rainfall[[#This Row],[REMARK]]="Rain",1,"")</f>
        <v/>
      </c>
      <c r="W29" s="105" t="e">
        <f>VLOOKUP($A29,OB!$AO$2:$AR$32,4,0)</f>
        <v>#N/A</v>
      </c>
    </row>
    <row r="30" spans="1:23" ht="14.4">
      <c r="A30" s="144"/>
      <c r="B30" s="144"/>
      <c r="C30" s="144"/>
      <c r="D30" s="145"/>
      <c r="E30" s="145"/>
      <c r="F30" s="146">
        <f>TIME(HOUR(Rainfall[[#This Row],[START]]),MINUTE(Rainfall[[#This Row],[START]]),0)</f>
        <v>0</v>
      </c>
      <c r="G30" s="146">
        <f>TIME(HOUR(Rainfall[[#This Row],[FINISH]]),MINUTE(Rainfall[[#This Row],[FINISH]]),0)</f>
        <v>0</v>
      </c>
      <c r="H30" s="144">
        <f t="shared" si="1"/>
        <v>1</v>
      </c>
      <c r="I30" s="148">
        <f t="shared" si="2"/>
        <v>0</v>
      </c>
      <c r="J30" s="148">
        <f t="shared" si="3"/>
        <v>0</v>
      </c>
      <c r="K30" s="147" t="str">
        <f t="shared" si="4"/>
        <v/>
      </c>
      <c r="L30" s="144"/>
      <c r="M30" s="144"/>
      <c r="N30" s="144"/>
      <c r="O30" s="144"/>
      <c r="P30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0" s="144" t="str">
        <f>Rainfall[[#This Row],[AdjR]]</f>
        <v/>
      </c>
      <c r="R30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0" s="144" t="str">
        <f>Rainfall[[#This Row],[AdjS]]</f>
        <v/>
      </c>
      <c r="T30" s="144">
        <f>Rainfall[[#This Row],[RAINFALL (mm)]]</f>
        <v>0</v>
      </c>
      <c r="U30" s="144" t="str">
        <f>Rainfall[[#This Row],[DAY]]&amp;Rainfall[[#This Row],[REMARK]]&amp;Rainfall[[#This Row],[CONTRACTOR]]</f>
        <v/>
      </c>
      <c r="V30" s="150" t="str">
        <f>IF(Rainfall[[#This Row],[REMARK]]="Rain",1,"")</f>
        <v/>
      </c>
      <c r="W30" s="105" t="e">
        <f>VLOOKUP($A30,OB!$AO$2:$AR$32,4,0)</f>
        <v>#N/A</v>
      </c>
    </row>
    <row r="31" spans="1:23" ht="14.4">
      <c r="A31" s="144"/>
      <c r="B31" s="144"/>
      <c r="C31" s="144"/>
      <c r="D31" s="145"/>
      <c r="E31" s="145"/>
      <c r="F31" s="146">
        <f>TIME(HOUR(Rainfall[[#This Row],[START]]),MINUTE(Rainfall[[#This Row],[START]]),0)</f>
        <v>0</v>
      </c>
      <c r="G31" s="146">
        <f>TIME(HOUR(Rainfall[[#This Row],[FINISH]]),MINUTE(Rainfall[[#This Row],[FINISH]]),0)</f>
        <v>0</v>
      </c>
      <c r="H31" s="144">
        <f t="shared" si="1"/>
        <v>1</v>
      </c>
      <c r="I31" s="148">
        <f t="shared" si="2"/>
        <v>0</v>
      </c>
      <c r="J31" s="148">
        <f t="shared" si="3"/>
        <v>0</v>
      </c>
      <c r="K31" s="147" t="str">
        <f t="shared" si="4"/>
        <v/>
      </c>
      <c r="L31" s="144"/>
      <c r="M31" s="144"/>
      <c r="N31" s="144"/>
      <c r="P31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1" s="144" t="str">
        <f>Rainfall[[#This Row],[AdjR]]</f>
        <v/>
      </c>
      <c r="R31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1" s="144" t="str">
        <f>Rainfall[[#This Row],[AdjS]]</f>
        <v/>
      </c>
      <c r="T31" s="105">
        <f>Rainfall[[#This Row],[RAINFALL (mm)]]</f>
        <v>0</v>
      </c>
      <c r="U31" s="105" t="str">
        <f>Rainfall[[#This Row],[DAY]]&amp;Rainfall[[#This Row],[REMARK]]&amp;Rainfall[[#This Row],[CONTRACTOR]]</f>
        <v/>
      </c>
      <c r="V31" s="130" t="str">
        <f>IF(Rainfall[[#This Row],[REMARK]]="Rain",1,"")</f>
        <v/>
      </c>
      <c r="W31" s="105" t="e">
        <f>VLOOKUP($A31,OB!$AO$2:$AR$32,4,0)</f>
        <v>#N/A</v>
      </c>
    </row>
    <row r="32" spans="1:23">
      <c r="A32" s="144"/>
      <c r="B32" s="144"/>
      <c r="C32" s="144"/>
      <c r="D32" s="145"/>
      <c r="E32" s="145"/>
      <c r="F32" s="146">
        <f>TIME(HOUR(Rainfall[[#This Row],[START]]),MINUTE(Rainfall[[#This Row],[START]]),0)</f>
        <v>0</v>
      </c>
      <c r="G32" s="146">
        <f>TIME(HOUR(Rainfall[[#This Row],[FINISH]]),MINUTE(Rainfall[[#This Row],[FINISH]]),0)</f>
        <v>0</v>
      </c>
      <c r="H32" s="144">
        <f t="shared" si="1"/>
        <v>1</v>
      </c>
      <c r="I32" s="148">
        <f t="shared" si="2"/>
        <v>0</v>
      </c>
      <c r="J32" s="148">
        <f t="shared" si="3"/>
        <v>0</v>
      </c>
      <c r="K32" s="148" t="str">
        <f t="shared" si="4"/>
        <v/>
      </c>
      <c r="L32" s="144"/>
      <c r="M32" s="144"/>
      <c r="N32" s="144"/>
      <c r="P32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2" s="144" t="str">
        <f>Rainfall[[#This Row],[AdjR]]</f>
        <v/>
      </c>
      <c r="R32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2" s="144" t="str">
        <f>Rainfall[[#This Row],[AdjS]]</f>
        <v/>
      </c>
      <c r="T32" s="105">
        <f>Rainfall[[#This Row],[RAINFALL (mm)]]</f>
        <v>0</v>
      </c>
      <c r="U32" s="105" t="str">
        <f>Rainfall[[#This Row],[DAY]]&amp;Rainfall[[#This Row],[REMARK]]&amp;Rainfall[[#This Row],[CONTRACTOR]]</f>
        <v/>
      </c>
      <c r="V32" s="130" t="str">
        <f>IF(Rainfall[[#This Row],[REMARK]]="Rain",1,"")</f>
        <v/>
      </c>
      <c r="W32" s="105" t="e">
        <f>VLOOKUP($A32,OB!$AO$2:$AR$32,4,0)</f>
        <v>#N/A</v>
      </c>
    </row>
    <row r="33" spans="1:23">
      <c r="A33" s="144"/>
      <c r="B33" s="144"/>
      <c r="C33" s="144"/>
      <c r="D33" s="145"/>
      <c r="E33" s="145"/>
      <c r="F33" s="146">
        <f>TIME(HOUR(Rainfall[[#This Row],[START]]),MINUTE(Rainfall[[#This Row],[START]]),0)</f>
        <v>0</v>
      </c>
      <c r="G33" s="146">
        <f>TIME(HOUR(Rainfall[[#This Row],[FINISH]]),MINUTE(Rainfall[[#This Row],[FINISH]]),0)</f>
        <v>0</v>
      </c>
      <c r="H33" s="144">
        <f t="shared" si="1"/>
        <v>1</v>
      </c>
      <c r="I33" s="148">
        <f t="shared" si="2"/>
        <v>0</v>
      </c>
      <c r="J33" s="148">
        <f t="shared" si="3"/>
        <v>0</v>
      </c>
      <c r="K33" s="148" t="str">
        <f t="shared" si="4"/>
        <v/>
      </c>
      <c r="L33" s="144"/>
      <c r="M33" s="144"/>
      <c r="N33" s="144"/>
      <c r="P33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3" s="144" t="str">
        <f>Rainfall[[#This Row],[AdjR]]</f>
        <v/>
      </c>
      <c r="R33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3" s="144" t="str">
        <f>Rainfall[[#This Row],[AdjS]]</f>
        <v/>
      </c>
      <c r="T33" s="105">
        <f>Rainfall[[#This Row],[RAINFALL (mm)]]</f>
        <v>0</v>
      </c>
      <c r="U33" s="105" t="str">
        <f>Rainfall[[#This Row],[DAY]]&amp;Rainfall[[#This Row],[REMARK]]&amp;Rainfall[[#This Row],[CONTRACTOR]]</f>
        <v/>
      </c>
      <c r="V33" s="130" t="str">
        <f>IF(Rainfall[[#This Row],[REMARK]]="Rain",1,"")</f>
        <v/>
      </c>
      <c r="W33" s="105" t="e">
        <f>VLOOKUP($A33,OB!$AO$2:$AR$32,4,0)</f>
        <v>#N/A</v>
      </c>
    </row>
    <row r="34" spans="1:23">
      <c r="A34" s="144"/>
      <c r="B34" s="144"/>
      <c r="C34" s="144"/>
      <c r="D34" s="145"/>
      <c r="E34" s="145"/>
      <c r="F34" s="146">
        <f>TIME(HOUR(Rainfall[[#This Row],[START]]),MINUTE(Rainfall[[#This Row],[START]]),0)</f>
        <v>0</v>
      </c>
      <c r="G34" s="146">
        <f>TIME(HOUR(Rainfall[[#This Row],[FINISH]]),MINUTE(Rainfall[[#This Row],[FINISH]]),0)</f>
        <v>0</v>
      </c>
      <c r="H34" s="144">
        <f t="shared" si="1"/>
        <v>1</v>
      </c>
      <c r="I34" s="148">
        <f t="shared" si="2"/>
        <v>0</v>
      </c>
      <c r="J34" s="148">
        <f t="shared" si="3"/>
        <v>0</v>
      </c>
      <c r="K34" s="148" t="str">
        <f t="shared" si="4"/>
        <v/>
      </c>
      <c r="L34" s="144"/>
      <c r="M34" s="144"/>
      <c r="N34" s="144"/>
      <c r="P34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4" s="144" t="str">
        <f>Rainfall[[#This Row],[AdjR]]</f>
        <v/>
      </c>
      <c r="R34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4" s="144" t="str">
        <f>Rainfall[[#This Row],[AdjS]]</f>
        <v/>
      </c>
      <c r="T34" s="144">
        <f>Rainfall[[#This Row],[RAINFALL (mm)]]</f>
        <v>0</v>
      </c>
      <c r="U34" s="144" t="str">
        <f>Rainfall[[#This Row],[DAY]]&amp;Rainfall[[#This Row],[REMARK]]&amp;Rainfall[[#This Row],[CONTRACTOR]]</f>
        <v/>
      </c>
      <c r="V34" s="150" t="str">
        <f>IF(Rainfall[[#This Row],[REMARK]]="Rain",1,"")</f>
        <v/>
      </c>
      <c r="W34" s="105" t="e">
        <f>VLOOKUP($A34,OB!$AO$2:$AR$32,4,0)</f>
        <v>#N/A</v>
      </c>
    </row>
    <row r="35" spans="1:23">
      <c r="A35" s="144"/>
      <c r="B35" s="144"/>
      <c r="C35" s="144"/>
      <c r="D35" s="145"/>
      <c r="E35" s="145"/>
      <c r="F35" s="146">
        <f>TIME(HOUR(Rainfall[[#This Row],[START]]),MINUTE(Rainfall[[#This Row],[START]]),0)</f>
        <v>0</v>
      </c>
      <c r="G35" s="146">
        <f>TIME(HOUR(Rainfall[[#This Row],[FINISH]]),MINUTE(Rainfall[[#This Row],[FINISH]]),0)</f>
        <v>0</v>
      </c>
      <c r="H35" s="144">
        <f t="shared" si="1"/>
        <v>1</v>
      </c>
      <c r="I35" s="148">
        <f t="shared" si="2"/>
        <v>0</v>
      </c>
      <c r="J35" s="148">
        <f t="shared" si="3"/>
        <v>0</v>
      </c>
      <c r="K35" s="148" t="str">
        <f t="shared" si="4"/>
        <v/>
      </c>
      <c r="L35" s="144"/>
      <c r="M35" s="144"/>
      <c r="N35" s="144"/>
      <c r="P35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5" s="144" t="str">
        <f>Rainfall[[#This Row],[AdjR]]</f>
        <v/>
      </c>
      <c r="R35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5" s="144" t="str">
        <f>Rainfall[[#This Row],[AdjS]]</f>
        <v/>
      </c>
      <c r="T35" s="105">
        <f>Rainfall[[#This Row],[RAINFALL (mm)]]</f>
        <v>0</v>
      </c>
      <c r="U35" s="105" t="str">
        <f>Rainfall[[#This Row],[DAY]]&amp;Rainfall[[#This Row],[REMARK]]&amp;Rainfall[[#This Row],[CONTRACTOR]]</f>
        <v/>
      </c>
      <c r="V35" s="130" t="str">
        <f>IF(Rainfall[[#This Row],[REMARK]]="Rain",1,"")</f>
        <v/>
      </c>
      <c r="W35" s="105" t="e">
        <f>VLOOKUP($A35,OB!$AO$2:$AR$32,4,0)</f>
        <v>#N/A</v>
      </c>
    </row>
    <row r="36" spans="1:23">
      <c r="A36" s="144"/>
      <c r="B36" s="144"/>
      <c r="C36" s="144"/>
      <c r="D36" s="145"/>
      <c r="E36" s="145"/>
      <c r="F36" s="146">
        <f>TIME(HOUR(Rainfall[[#This Row],[START]]),MINUTE(Rainfall[[#This Row],[START]]),0)</f>
        <v>0</v>
      </c>
      <c r="G36" s="146">
        <f>TIME(HOUR(Rainfall[[#This Row],[FINISH]]),MINUTE(Rainfall[[#This Row],[FINISH]]),0)</f>
        <v>0</v>
      </c>
      <c r="H36" s="144">
        <f t="shared" si="1"/>
        <v>1</v>
      </c>
      <c r="I36" s="148">
        <f t="shared" si="2"/>
        <v>0</v>
      </c>
      <c r="J36" s="148">
        <f t="shared" si="3"/>
        <v>0</v>
      </c>
      <c r="K36" s="148" t="str">
        <f t="shared" si="4"/>
        <v/>
      </c>
      <c r="L36" s="144"/>
      <c r="M36" s="144"/>
      <c r="N36" s="144"/>
      <c r="P36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6" s="144" t="str">
        <f>Rainfall[[#This Row],[AdjR]]</f>
        <v/>
      </c>
      <c r="R36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6" s="144" t="str">
        <f>Rainfall[[#This Row],[AdjS]]</f>
        <v/>
      </c>
      <c r="T36" s="105">
        <f>Rainfall[[#This Row],[RAINFALL (mm)]]</f>
        <v>0</v>
      </c>
      <c r="U36" s="105" t="str">
        <f>Rainfall[[#This Row],[DAY]]&amp;Rainfall[[#This Row],[REMARK]]&amp;Rainfall[[#This Row],[CONTRACTOR]]</f>
        <v/>
      </c>
      <c r="V36" s="130" t="str">
        <f>IF(Rainfall[[#This Row],[REMARK]]="Rain",1,"")</f>
        <v/>
      </c>
      <c r="W36" s="105" t="e">
        <f>VLOOKUP($A36,OB!$AO$2:$AR$32,4,0)</f>
        <v>#N/A</v>
      </c>
    </row>
    <row r="37" spans="1:23">
      <c r="A37" s="144"/>
      <c r="B37" s="144"/>
      <c r="C37" s="144"/>
      <c r="D37" s="145"/>
      <c r="E37" s="145"/>
      <c r="F37" s="146">
        <f>TIME(HOUR(Rainfall[[#This Row],[START]]),MINUTE(Rainfall[[#This Row],[START]]),0)</f>
        <v>0</v>
      </c>
      <c r="G37" s="146">
        <f>TIME(HOUR(Rainfall[[#This Row],[FINISH]]),MINUTE(Rainfall[[#This Row],[FINISH]]),0)</f>
        <v>0</v>
      </c>
      <c r="H37" s="144">
        <f t="shared" si="1"/>
        <v>1</v>
      </c>
      <c r="I37" s="148">
        <f t="shared" si="2"/>
        <v>0</v>
      </c>
      <c r="J37" s="148">
        <f t="shared" si="3"/>
        <v>0</v>
      </c>
      <c r="K37" s="148" t="str">
        <f t="shared" si="4"/>
        <v/>
      </c>
      <c r="L37" s="144"/>
      <c r="M37" s="144"/>
      <c r="N37" s="144"/>
      <c r="P37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7" s="144" t="str">
        <f>Rainfall[[#This Row],[AdjR]]</f>
        <v/>
      </c>
      <c r="R37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7" s="144" t="str">
        <f>Rainfall[[#This Row],[AdjS]]</f>
        <v/>
      </c>
      <c r="T37" s="105">
        <f>Rainfall[[#This Row],[RAINFALL (mm)]]</f>
        <v>0</v>
      </c>
      <c r="U37" s="105" t="str">
        <f>Rainfall[[#This Row],[DAY]]&amp;Rainfall[[#This Row],[REMARK]]&amp;Rainfall[[#This Row],[CONTRACTOR]]</f>
        <v/>
      </c>
      <c r="V37" s="130" t="str">
        <f>IF(Rainfall[[#This Row],[REMARK]]="Rain",1,"")</f>
        <v/>
      </c>
      <c r="W37" s="105" t="e">
        <f>VLOOKUP($A37,OB!$AO$2:$AR$32,4,0)</f>
        <v>#N/A</v>
      </c>
    </row>
    <row r="38" spans="1:23">
      <c r="A38" s="144"/>
      <c r="B38" s="144"/>
      <c r="C38" s="144"/>
      <c r="D38" s="145"/>
      <c r="E38" s="145"/>
      <c r="F38" s="146">
        <f>TIME(HOUR(Rainfall[[#This Row],[START]]),MINUTE(Rainfall[[#This Row],[START]]),0)</f>
        <v>0</v>
      </c>
      <c r="G38" s="146">
        <f>TIME(HOUR(Rainfall[[#This Row],[FINISH]]),MINUTE(Rainfall[[#This Row],[FINISH]]),0)</f>
        <v>0</v>
      </c>
      <c r="H38" s="144">
        <f t="shared" si="1"/>
        <v>1</v>
      </c>
      <c r="I38" s="148">
        <f t="shared" si="2"/>
        <v>0</v>
      </c>
      <c r="J38" s="148">
        <f t="shared" si="3"/>
        <v>0</v>
      </c>
      <c r="K38" s="148" t="str">
        <f t="shared" si="4"/>
        <v/>
      </c>
      <c r="L38" s="144"/>
      <c r="M38" s="144"/>
      <c r="N38" s="144"/>
      <c r="P38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8" s="144" t="str">
        <f>Rainfall[[#This Row],[AdjR]]</f>
        <v/>
      </c>
      <c r="R38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8" s="144" t="str">
        <f>Rainfall[[#This Row],[AdjS]]</f>
        <v/>
      </c>
      <c r="T38" s="105">
        <f>Rainfall[[#This Row],[RAINFALL (mm)]]</f>
        <v>0</v>
      </c>
      <c r="U38" s="105" t="str">
        <f>Rainfall[[#This Row],[DAY]]&amp;Rainfall[[#This Row],[REMARK]]&amp;Rainfall[[#This Row],[CONTRACTOR]]</f>
        <v/>
      </c>
      <c r="V38" s="130" t="str">
        <f>IF(Rainfall[[#This Row],[REMARK]]="Rain",1,"")</f>
        <v/>
      </c>
      <c r="W38" s="105" t="e">
        <f>VLOOKUP($A38,OB!$AO$2:$AR$32,4,0)</f>
        <v>#N/A</v>
      </c>
    </row>
    <row r="39" spans="1:23">
      <c r="A39" s="144"/>
      <c r="B39" s="144"/>
      <c r="C39" s="144"/>
      <c r="D39" s="145"/>
      <c r="E39" s="145"/>
      <c r="F39" s="146">
        <f>TIME(HOUR(Rainfall[[#This Row],[START]]),MINUTE(Rainfall[[#This Row],[START]]),0)</f>
        <v>0</v>
      </c>
      <c r="G39" s="146">
        <f>TIME(HOUR(Rainfall[[#This Row],[FINISH]]),MINUTE(Rainfall[[#This Row],[FINISH]]),0)</f>
        <v>0</v>
      </c>
      <c r="H39" s="144">
        <f t="shared" si="1"/>
        <v>1</v>
      </c>
      <c r="I39" s="148">
        <f t="shared" si="2"/>
        <v>0</v>
      </c>
      <c r="J39" s="148">
        <f t="shared" si="3"/>
        <v>0</v>
      </c>
      <c r="K39" s="148" t="str">
        <f t="shared" si="4"/>
        <v/>
      </c>
      <c r="L39" s="144"/>
      <c r="M39" s="144"/>
      <c r="N39" s="144"/>
      <c r="O39" s="105" t="str">
        <f>Rainfall[[#This Row],[DAY]]&amp;Rainfall[[#This Row],[Freq.]]&amp;Rainfall[[#This Row],[PIT]]&amp;Rainfall[[#This Row],[REMARK]]</f>
        <v/>
      </c>
      <c r="P39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39" s="144" t="str">
        <f>Rainfall[[#This Row],[AdjR]]</f>
        <v/>
      </c>
      <c r="R39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39" s="144" t="str">
        <f>Rainfall[[#This Row],[AdjS]]</f>
        <v/>
      </c>
      <c r="T39" s="105">
        <f>Rainfall[[#This Row],[RAINFALL (mm)]]</f>
        <v>0</v>
      </c>
      <c r="U39" s="105" t="str">
        <f>Rainfall[[#This Row],[DAY]]&amp;Rainfall[[#This Row],[REMARK]]&amp;Rainfall[[#This Row],[CONTRACTOR]]</f>
        <v/>
      </c>
      <c r="V39" s="130" t="str">
        <f>IF(Rainfall[[#This Row],[REMARK]]="Rain",1,"")</f>
        <v/>
      </c>
      <c r="W39" s="105" t="e">
        <f>VLOOKUP($A39,OB!$AO$2:$AR$32,4,0)</f>
        <v>#N/A</v>
      </c>
    </row>
    <row r="40" spans="1:23">
      <c r="A40" s="144"/>
      <c r="B40" s="144"/>
      <c r="C40" s="144"/>
      <c r="D40" s="145"/>
      <c r="E40" s="145"/>
      <c r="F40" s="146">
        <f>TIME(HOUR(Rainfall[[#This Row],[START]]),MINUTE(Rainfall[[#This Row],[START]]),0)</f>
        <v>0</v>
      </c>
      <c r="G40" s="146">
        <f>TIME(HOUR(Rainfall[[#This Row],[FINISH]]),MINUTE(Rainfall[[#This Row],[FINISH]]),0)</f>
        <v>0</v>
      </c>
      <c r="H40" s="144">
        <f t="shared" si="1"/>
        <v>1</v>
      </c>
      <c r="I40" s="148">
        <f t="shared" si="2"/>
        <v>0</v>
      </c>
      <c r="J40" s="148">
        <f t="shared" si="3"/>
        <v>0</v>
      </c>
      <c r="K40" s="148" t="str">
        <f t="shared" si="4"/>
        <v/>
      </c>
      <c r="L40" s="144"/>
      <c r="M40" s="144"/>
      <c r="N40" s="144"/>
      <c r="O40" s="144" t="str">
        <f>Rainfall[[#This Row],[DAY]]&amp;Rainfall[[#This Row],[Freq.]]&amp;Rainfall[[#This Row],[PIT]]&amp;Rainfall[[#This Row],[REMARK]]</f>
        <v/>
      </c>
      <c r="P40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0" s="144" t="str">
        <f>Rainfall[[#This Row],[AdjR]]</f>
        <v/>
      </c>
      <c r="R40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0" s="144" t="str">
        <f>Rainfall[[#This Row],[AdjS]]</f>
        <v/>
      </c>
      <c r="T40" s="144">
        <f>Rainfall[[#This Row],[RAINFALL (mm)]]</f>
        <v>0</v>
      </c>
      <c r="U40" s="144" t="str">
        <f>Rainfall[[#This Row],[DAY]]&amp;Rainfall[[#This Row],[REMARK]]&amp;Rainfall[[#This Row],[CONTRACTOR]]</f>
        <v/>
      </c>
      <c r="V40" s="150" t="str">
        <f>IF(Rainfall[[#This Row],[REMARK]]="Rain",1,"")</f>
        <v/>
      </c>
      <c r="W40" s="105" t="e">
        <f>VLOOKUP($A40,OB!$AO$2:$AR$32,4,0)</f>
        <v>#N/A</v>
      </c>
    </row>
    <row r="41" spans="1:23">
      <c r="A41" s="144"/>
      <c r="B41" s="144"/>
      <c r="C41" s="144"/>
      <c r="D41" s="145"/>
      <c r="E41" s="145"/>
      <c r="F41" s="146">
        <f>TIME(HOUR(Rainfall[[#This Row],[START]]),MINUTE(Rainfall[[#This Row],[START]]),0)</f>
        <v>0</v>
      </c>
      <c r="G41" s="146">
        <f>TIME(HOUR(Rainfall[[#This Row],[FINISH]]),MINUTE(Rainfall[[#This Row],[FINISH]]),0)</f>
        <v>0</v>
      </c>
      <c r="H41" s="144">
        <f t="shared" si="1"/>
        <v>1</v>
      </c>
      <c r="I41" s="148">
        <f t="shared" si="2"/>
        <v>0</v>
      </c>
      <c r="J41" s="148">
        <f t="shared" si="3"/>
        <v>0</v>
      </c>
      <c r="K41" s="148" t="str">
        <f t="shared" si="4"/>
        <v/>
      </c>
      <c r="L41" s="144"/>
      <c r="M41" s="144"/>
      <c r="N41" s="144"/>
      <c r="O41" s="105" t="str">
        <f>Rainfall[[#This Row],[DAY]]&amp;Rainfall[[#This Row],[Freq.]]&amp;Rainfall[[#This Row],[PIT]]&amp;Rainfall[[#This Row],[REMARK]]</f>
        <v/>
      </c>
      <c r="P41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1" s="144" t="str">
        <f>Rainfall[[#This Row],[AdjR]]</f>
        <v/>
      </c>
      <c r="R41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1" s="144" t="str">
        <f>Rainfall[[#This Row],[AdjS]]</f>
        <v/>
      </c>
      <c r="T41" s="105">
        <f>Rainfall[[#This Row],[RAINFALL (mm)]]</f>
        <v>0</v>
      </c>
      <c r="U41" s="105" t="str">
        <f>Rainfall[[#This Row],[DAY]]&amp;Rainfall[[#This Row],[REMARK]]&amp;Rainfall[[#This Row],[CONTRACTOR]]</f>
        <v/>
      </c>
      <c r="V41" s="130" t="str">
        <f>IF(Rainfall[[#This Row],[REMARK]]="Rain",1,"")</f>
        <v/>
      </c>
      <c r="W41" s="105" t="e">
        <f>VLOOKUP($A41,OB!$AO$2:$AR$32,4,0)</f>
        <v>#N/A</v>
      </c>
    </row>
    <row r="42" spans="1:23">
      <c r="A42" s="144"/>
      <c r="B42" s="144"/>
      <c r="C42" s="144"/>
      <c r="D42" s="145"/>
      <c r="E42" s="145"/>
      <c r="F42" s="146">
        <f>TIME(HOUR(Rainfall[[#This Row],[START]]),MINUTE(Rainfall[[#This Row],[START]]),0)</f>
        <v>0</v>
      </c>
      <c r="G42" s="146">
        <f>TIME(HOUR(Rainfall[[#This Row],[FINISH]]),MINUTE(Rainfall[[#This Row],[FINISH]]),0)</f>
        <v>0</v>
      </c>
      <c r="H42" s="144">
        <f t="shared" si="1"/>
        <v>1</v>
      </c>
      <c r="I42" s="148">
        <f t="shared" si="2"/>
        <v>0</v>
      </c>
      <c r="J42" s="148">
        <f t="shared" si="3"/>
        <v>0</v>
      </c>
      <c r="K42" s="148" t="str">
        <f t="shared" si="4"/>
        <v/>
      </c>
      <c r="L42" s="144"/>
      <c r="M42" s="144"/>
      <c r="N42" s="144"/>
      <c r="O42" s="105" t="str">
        <f>Rainfall[[#This Row],[DAY]]&amp;Rainfall[[#This Row],[Freq.]]&amp;Rainfall[[#This Row],[PIT]]&amp;Rainfall[[#This Row],[REMARK]]</f>
        <v/>
      </c>
      <c r="P42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2" s="144" t="str">
        <f>Rainfall[[#This Row],[AdjR]]</f>
        <v/>
      </c>
      <c r="R42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2" s="144" t="str">
        <f>Rainfall[[#This Row],[AdjS]]</f>
        <v/>
      </c>
      <c r="T42" s="105">
        <f>Rainfall[[#This Row],[RAINFALL (mm)]]</f>
        <v>0</v>
      </c>
      <c r="U42" s="105" t="str">
        <f>Rainfall[[#This Row],[DAY]]&amp;Rainfall[[#This Row],[REMARK]]&amp;Rainfall[[#This Row],[CONTRACTOR]]</f>
        <v/>
      </c>
      <c r="V42" s="130" t="str">
        <f>IF(Rainfall[[#This Row],[REMARK]]="Rain",1,"")</f>
        <v/>
      </c>
      <c r="W42" s="105" t="e">
        <f>VLOOKUP($A42,OB!$AO$2:$AR$32,4,0)</f>
        <v>#N/A</v>
      </c>
    </row>
    <row r="43" spans="1:23">
      <c r="A43" s="144"/>
      <c r="B43" s="144"/>
      <c r="C43" s="144"/>
      <c r="D43" s="145"/>
      <c r="E43" s="145"/>
      <c r="F43" s="146">
        <f>TIME(HOUR(Rainfall[[#This Row],[START]]),MINUTE(Rainfall[[#This Row],[START]]),0)</f>
        <v>0</v>
      </c>
      <c r="G43" s="146">
        <f>TIME(HOUR(Rainfall[[#This Row],[FINISH]]),MINUTE(Rainfall[[#This Row],[FINISH]]),0)</f>
        <v>0</v>
      </c>
      <c r="H43" s="144">
        <f t="shared" si="1"/>
        <v>1</v>
      </c>
      <c r="I43" s="148">
        <f t="shared" si="2"/>
        <v>0</v>
      </c>
      <c r="J43" s="148">
        <f t="shared" si="3"/>
        <v>0</v>
      </c>
      <c r="K43" s="148" t="str">
        <f t="shared" si="4"/>
        <v/>
      </c>
      <c r="L43" s="144"/>
      <c r="M43" s="144"/>
      <c r="N43" s="144"/>
      <c r="O43" s="105" t="str">
        <f>Rainfall[[#This Row],[DAY]]&amp;Rainfall[[#This Row],[Freq.]]&amp;Rainfall[[#This Row],[PIT]]&amp;Rainfall[[#This Row],[REMARK]]</f>
        <v/>
      </c>
      <c r="P43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3" s="144" t="str">
        <f>Rainfall[[#This Row],[AdjR]]</f>
        <v/>
      </c>
      <c r="R43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3" s="144" t="str">
        <f>Rainfall[[#This Row],[AdjS]]</f>
        <v/>
      </c>
      <c r="T43" s="105">
        <f>Rainfall[[#This Row],[RAINFALL (mm)]]</f>
        <v>0</v>
      </c>
      <c r="U43" s="105" t="str">
        <f>Rainfall[[#This Row],[DAY]]&amp;Rainfall[[#This Row],[REMARK]]&amp;Rainfall[[#This Row],[CONTRACTOR]]</f>
        <v/>
      </c>
      <c r="V43" s="130" t="str">
        <f>IF(Rainfall[[#This Row],[REMARK]]="Rain",1,"")</f>
        <v/>
      </c>
      <c r="W43" s="105" t="e">
        <f>VLOOKUP($A43,OB!$AO$2:$AR$32,4,0)</f>
        <v>#N/A</v>
      </c>
    </row>
    <row r="44" spans="1:23">
      <c r="A44" s="144"/>
      <c r="B44" s="144"/>
      <c r="C44" s="144"/>
      <c r="D44" s="145"/>
      <c r="E44" s="145"/>
      <c r="F44" s="146">
        <f>TIME(HOUR(Rainfall[[#This Row],[START]]),MINUTE(Rainfall[[#This Row],[START]]),0)</f>
        <v>0</v>
      </c>
      <c r="G44" s="146">
        <f>TIME(HOUR(Rainfall[[#This Row],[FINISH]]),MINUTE(Rainfall[[#This Row],[FINISH]]),0)</f>
        <v>0</v>
      </c>
      <c r="H44" s="144">
        <f t="shared" si="1"/>
        <v>1</v>
      </c>
      <c r="I44" s="148">
        <f t="shared" si="2"/>
        <v>0</v>
      </c>
      <c r="J44" s="148">
        <f t="shared" si="3"/>
        <v>0</v>
      </c>
      <c r="K44" s="148" t="str">
        <f t="shared" si="4"/>
        <v/>
      </c>
      <c r="L44" s="144"/>
      <c r="M44" s="144"/>
      <c r="N44" s="144"/>
      <c r="O44" s="105" t="str">
        <f>Rainfall[[#This Row],[DAY]]&amp;Rainfall[[#This Row],[Freq.]]&amp;Rainfall[[#This Row],[PIT]]&amp;Rainfall[[#This Row],[REMARK]]</f>
        <v/>
      </c>
      <c r="P44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4" s="144" t="str">
        <f>Rainfall[[#This Row],[AdjR]]</f>
        <v/>
      </c>
      <c r="R44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4" s="144" t="str">
        <f>Rainfall[[#This Row],[AdjS]]</f>
        <v/>
      </c>
      <c r="T44" s="105">
        <f>Rainfall[[#This Row],[RAINFALL (mm)]]</f>
        <v>0</v>
      </c>
      <c r="U44" s="105" t="str">
        <f>Rainfall[[#This Row],[DAY]]&amp;Rainfall[[#This Row],[REMARK]]&amp;Rainfall[[#This Row],[CONTRACTOR]]</f>
        <v/>
      </c>
      <c r="V44" s="130" t="str">
        <f>IF(Rainfall[[#This Row],[REMARK]]="Rain",1,"")</f>
        <v/>
      </c>
      <c r="W44" s="105" t="e">
        <f>VLOOKUP($A44,OB!$AO$2:$AR$32,4,0)</f>
        <v>#N/A</v>
      </c>
    </row>
    <row r="45" spans="1:23">
      <c r="A45" s="144"/>
      <c r="B45" s="144"/>
      <c r="C45" s="144"/>
      <c r="D45" s="145"/>
      <c r="E45" s="145"/>
      <c r="F45" s="146">
        <f>TIME(HOUR(Rainfall[[#This Row],[START]]),MINUTE(Rainfall[[#This Row],[START]]),0)</f>
        <v>0</v>
      </c>
      <c r="G45" s="146">
        <f>TIME(HOUR(Rainfall[[#This Row],[FINISH]]),MINUTE(Rainfall[[#This Row],[FINISH]]),0)</f>
        <v>0</v>
      </c>
      <c r="H45" s="144">
        <f t="shared" si="1"/>
        <v>1</v>
      </c>
      <c r="I45" s="148">
        <f t="shared" si="2"/>
        <v>0</v>
      </c>
      <c r="J45" s="148">
        <f t="shared" si="3"/>
        <v>0</v>
      </c>
      <c r="K45" s="148" t="str">
        <f t="shared" si="4"/>
        <v/>
      </c>
      <c r="L45" s="144"/>
      <c r="M45" s="144"/>
      <c r="N45" s="144"/>
      <c r="O45" s="105" t="str">
        <f>Rainfall[[#This Row],[DAY]]&amp;Rainfall[[#This Row],[Freq.]]&amp;Rainfall[[#This Row],[PIT]]&amp;Rainfall[[#This Row],[REMARK]]</f>
        <v/>
      </c>
      <c r="P45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5" s="144" t="str">
        <f>Rainfall[[#This Row],[AdjR]]</f>
        <v/>
      </c>
      <c r="R45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5" s="144" t="str">
        <f>Rainfall[[#This Row],[AdjS]]</f>
        <v/>
      </c>
      <c r="T45" s="105">
        <f>Rainfall[[#This Row],[RAINFALL (mm)]]</f>
        <v>0</v>
      </c>
      <c r="U45" s="105" t="str">
        <f>Rainfall[[#This Row],[DAY]]&amp;Rainfall[[#This Row],[REMARK]]&amp;Rainfall[[#This Row],[CONTRACTOR]]</f>
        <v/>
      </c>
      <c r="V45" s="130" t="str">
        <f>IF(Rainfall[[#This Row],[REMARK]]="Rain",1,"")</f>
        <v/>
      </c>
      <c r="W45" s="105" t="e">
        <f>VLOOKUP($A45,OB!$AO$2:$AR$32,4,0)</f>
        <v>#N/A</v>
      </c>
    </row>
    <row r="46" spans="1:23">
      <c r="A46" s="144"/>
      <c r="B46" s="144"/>
      <c r="C46" s="144"/>
      <c r="D46" s="145"/>
      <c r="E46" s="145"/>
      <c r="F46" s="146">
        <f>TIME(HOUR(Rainfall[[#This Row],[START]]),MINUTE(Rainfall[[#This Row],[START]]),0)</f>
        <v>0</v>
      </c>
      <c r="G46" s="146">
        <f>TIME(HOUR(Rainfall[[#This Row],[FINISH]]),MINUTE(Rainfall[[#This Row],[FINISH]]),0)</f>
        <v>0</v>
      </c>
      <c r="H46" s="144">
        <f t="shared" si="1"/>
        <v>1</v>
      </c>
      <c r="I46" s="148">
        <f t="shared" si="2"/>
        <v>0</v>
      </c>
      <c r="J46" s="148">
        <f t="shared" si="3"/>
        <v>0</v>
      </c>
      <c r="K46" s="148" t="str">
        <f t="shared" si="4"/>
        <v/>
      </c>
      <c r="L46" s="144"/>
      <c r="M46" s="144"/>
      <c r="N46" s="144"/>
      <c r="O46" s="144" t="str">
        <f>Rainfall[[#This Row],[DAY]]&amp;Rainfall[[#This Row],[Freq.]]&amp;Rainfall[[#This Row],[PIT]]&amp;Rainfall[[#This Row],[REMARK]]</f>
        <v/>
      </c>
      <c r="P46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6" s="144" t="str">
        <f>Rainfall[[#This Row],[AdjR]]</f>
        <v/>
      </c>
      <c r="R46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6" s="144" t="str">
        <f>Rainfall[[#This Row],[AdjS]]</f>
        <v/>
      </c>
      <c r="T46" s="144">
        <f>Rainfall[[#This Row],[RAINFALL (mm)]]</f>
        <v>0</v>
      </c>
      <c r="U46" s="144" t="str">
        <f>Rainfall[[#This Row],[DAY]]&amp;Rainfall[[#This Row],[REMARK]]&amp;Rainfall[[#This Row],[CONTRACTOR]]</f>
        <v/>
      </c>
      <c r="V46" s="150" t="str">
        <f>IF(Rainfall[[#This Row],[REMARK]]="Rain",1,"")</f>
        <v/>
      </c>
      <c r="W46" s="105" t="e">
        <f>VLOOKUP($A46,OB!$AO$2:$AR$32,4,0)</f>
        <v>#N/A</v>
      </c>
    </row>
    <row r="47" spans="1:23">
      <c r="B47" s="144"/>
      <c r="C47" s="144"/>
      <c r="D47" s="145"/>
      <c r="E47" s="145"/>
      <c r="F47" s="146">
        <f>TIME(HOUR(Rainfall[[#This Row],[START]]),MINUTE(Rainfall[[#This Row],[START]]),0)</f>
        <v>0</v>
      </c>
      <c r="G47" s="146">
        <f>TIME(HOUR(Rainfall[[#This Row],[FINISH]]),MINUTE(Rainfall[[#This Row],[FINISH]]),0)</f>
        <v>0</v>
      </c>
      <c r="H47" s="144">
        <f t="shared" si="1"/>
        <v>1</v>
      </c>
      <c r="I47" s="148">
        <f t="shared" si="2"/>
        <v>0</v>
      </c>
      <c r="J47" s="148">
        <f t="shared" si="3"/>
        <v>0</v>
      </c>
      <c r="K47" s="148" t="str">
        <f t="shared" si="4"/>
        <v/>
      </c>
      <c r="L47" s="144"/>
      <c r="N47" s="144"/>
      <c r="O47" s="105" t="str">
        <f>Rainfall[[#This Row],[DAY]]&amp;Rainfall[[#This Row],[Freq.]]&amp;Rainfall[[#This Row],[PIT]]&amp;Rainfall[[#This Row],[REMARK]]</f>
        <v/>
      </c>
      <c r="P47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7" s="144" t="str">
        <f>Rainfall[[#This Row],[AdjR]]</f>
        <v/>
      </c>
      <c r="R47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7" s="144" t="str">
        <f>Rainfall[[#This Row],[AdjS]]</f>
        <v/>
      </c>
      <c r="T47" s="105">
        <f>Rainfall[[#This Row],[RAINFALL (mm)]]</f>
        <v>0</v>
      </c>
      <c r="U47" s="105" t="str">
        <f>Rainfall[[#This Row],[DAY]]&amp;Rainfall[[#This Row],[REMARK]]&amp;Rainfall[[#This Row],[CONTRACTOR]]</f>
        <v/>
      </c>
      <c r="V47" s="130" t="str">
        <f>IF(Rainfall[[#This Row],[REMARK]]="Rain",1,"")</f>
        <v/>
      </c>
      <c r="W47" s="105" t="e">
        <f>VLOOKUP($A47,OB!$AO$2:$AR$32,4,0)</f>
        <v>#N/A</v>
      </c>
    </row>
    <row r="48" spans="1:23">
      <c r="B48" s="144"/>
      <c r="C48" s="144"/>
      <c r="D48" s="145"/>
      <c r="E48" s="145"/>
      <c r="F48" s="146">
        <f>TIME(HOUR(Rainfall[[#This Row],[START]]),MINUTE(Rainfall[[#This Row],[START]]),0)</f>
        <v>0</v>
      </c>
      <c r="G48" s="146">
        <f>TIME(HOUR(Rainfall[[#This Row],[FINISH]]),MINUTE(Rainfall[[#This Row],[FINISH]]),0)</f>
        <v>0</v>
      </c>
      <c r="H48" s="144">
        <f t="shared" si="1"/>
        <v>1</v>
      </c>
      <c r="I48" s="148">
        <f t="shared" si="2"/>
        <v>0</v>
      </c>
      <c r="J48" s="148">
        <f t="shared" si="3"/>
        <v>0</v>
      </c>
      <c r="K48" s="148" t="str">
        <f t="shared" si="4"/>
        <v/>
      </c>
      <c r="L48" s="144"/>
      <c r="N48" s="144"/>
      <c r="O48" s="105" t="str">
        <f>Rainfall[[#This Row],[DAY]]&amp;Rainfall[[#This Row],[Freq.]]&amp;Rainfall[[#This Row],[PIT]]&amp;Rainfall[[#This Row],[REMARK]]</f>
        <v/>
      </c>
      <c r="P48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8" s="144" t="str">
        <f>Rainfall[[#This Row],[AdjR]]</f>
        <v/>
      </c>
      <c r="R48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8" s="144" t="str">
        <f>Rainfall[[#This Row],[AdjS]]</f>
        <v/>
      </c>
      <c r="T48" s="105">
        <f>Rainfall[[#This Row],[RAINFALL (mm)]]</f>
        <v>0</v>
      </c>
      <c r="U48" s="105" t="str">
        <f>Rainfall[[#This Row],[DAY]]&amp;Rainfall[[#This Row],[REMARK]]&amp;Rainfall[[#This Row],[CONTRACTOR]]</f>
        <v/>
      </c>
      <c r="V48" s="130" t="str">
        <f>IF(Rainfall[[#This Row],[REMARK]]="Rain",1,"")</f>
        <v/>
      </c>
      <c r="W48" s="105" t="e">
        <f>VLOOKUP($A48,OB!$AO$2:$AR$32,4,0)</f>
        <v>#N/A</v>
      </c>
    </row>
    <row r="49" spans="1:23">
      <c r="A49" s="144"/>
      <c r="B49" s="144"/>
      <c r="C49" s="144"/>
      <c r="D49" s="145"/>
      <c r="E49" s="145"/>
      <c r="F49" s="146">
        <f>TIME(HOUR(Rainfall[[#This Row],[START]]),MINUTE(Rainfall[[#This Row],[START]]),0)</f>
        <v>0</v>
      </c>
      <c r="G49" s="146">
        <f>TIME(HOUR(Rainfall[[#This Row],[FINISH]]),MINUTE(Rainfall[[#This Row],[FINISH]]),0)</f>
        <v>0</v>
      </c>
      <c r="H49" s="144">
        <f t="shared" si="1"/>
        <v>1</v>
      </c>
      <c r="I49" s="148">
        <f t="shared" si="2"/>
        <v>0</v>
      </c>
      <c r="J49" s="148">
        <f t="shared" si="3"/>
        <v>0</v>
      </c>
      <c r="K49" s="148" t="str">
        <f t="shared" si="4"/>
        <v/>
      </c>
      <c r="L49" s="144"/>
      <c r="M49" s="144"/>
      <c r="N49" s="144"/>
      <c r="O49" s="144" t="str">
        <f>Rainfall[[#This Row],[DAY]]&amp;Rainfall[[#This Row],[Freq.]]&amp;Rainfall[[#This Row],[PIT]]&amp;Rainfall[[#This Row],[REMARK]]</f>
        <v/>
      </c>
      <c r="P49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49" s="144" t="str">
        <f>Rainfall[[#This Row],[AdjR]]</f>
        <v/>
      </c>
      <c r="R49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49" s="144" t="str">
        <f>Rainfall[[#This Row],[AdjS]]</f>
        <v/>
      </c>
      <c r="T49" s="144">
        <f>Rainfall[[#This Row],[RAINFALL (mm)]]</f>
        <v>0</v>
      </c>
      <c r="U49" s="144" t="str">
        <f>Rainfall[[#This Row],[DAY]]&amp;Rainfall[[#This Row],[REMARK]]&amp;Rainfall[[#This Row],[CONTRACTOR]]</f>
        <v/>
      </c>
      <c r="V49" s="150" t="str">
        <f>IF(Rainfall[[#This Row],[REMARK]]="Rain",1,"")</f>
        <v/>
      </c>
      <c r="W49" s="105" t="e">
        <f>VLOOKUP($A49,OB!$AO$2:$AR$32,4,0)</f>
        <v>#N/A</v>
      </c>
    </row>
    <row r="50" spans="1:23">
      <c r="A50" s="144"/>
      <c r="B50" s="144"/>
      <c r="C50" s="144"/>
      <c r="D50" s="145"/>
      <c r="E50" s="145"/>
      <c r="F50" s="146">
        <f>TIME(HOUR(Rainfall[[#This Row],[START]]),MINUTE(Rainfall[[#This Row],[START]]),0)</f>
        <v>0</v>
      </c>
      <c r="G50" s="146">
        <f>TIME(HOUR(Rainfall[[#This Row],[FINISH]]),MINUTE(Rainfall[[#This Row],[FINISH]]),0)</f>
        <v>0</v>
      </c>
      <c r="H50" s="144">
        <f t="shared" si="1"/>
        <v>1</v>
      </c>
      <c r="I50" s="148">
        <f t="shared" si="2"/>
        <v>0</v>
      </c>
      <c r="J50" s="148">
        <f t="shared" si="3"/>
        <v>0</v>
      </c>
      <c r="K50" s="148" t="str">
        <f t="shared" si="4"/>
        <v/>
      </c>
      <c r="L50" s="144"/>
      <c r="M50" s="144"/>
      <c r="N50" s="144"/>
      <c r="O50" s="105" t="str">
        <f>Rainfall[[#This Row],[DAY]]&amp;Rainfall[[#This Row],[Freq.]]&amp;Rainfall[[#This Row],[PIT]]&amp;Rainfall[[#This Row],[REMARK]]</f>
        <v/>
      </c>
      <c r="P50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0" s="144" t="str">
        <f>Rainfall[[#This Row],[AdjR]]</f>
        <v/>
      </c>
      <c r="R50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0" s="144" t="str">
        <f>Rainfall[[#This Row],[AdjS]]</f>
        <v/>
      </c>
      <c r="T50" s="105">
        <f>Rainfall[[#This Row],[RAINFALL (mm)]]</f>
        <v>0</v>
      </c>
      <c r="U50" s="105" t="str">
        <f>Rainfall[[#This Row],[DAY]]&amp;Rainfall[[#This Row],[REMARK]]&amp;Rainfall[[#This Row],[CONTRACTOR]]</f>
        <v/>
      </c>
      <c r="V50" s="130" t="str">
        <f>IF(Rainfall[[#This Row],[REMARK]]="Rain",1,"")</f>
        <v/>
      </c>
      <c r="W50" s="105" t="e">
        <f>VLOOKUP($A50,OB!$AO$2:$AR$32,4,0)</f>
        <v>#N/A</v>
      </c>
    </row>
    <row r="51" spans="1:23">
      <c r="A51" s="144"/>
      <c r="B51" s="144"/>
      <c r="C51" s="144"/>
      <c r="D51" s="145"/>
      <c r="E51" s="145"/>
      <c r="F51" s="146">
        <f>TIME(HOUR(Rainfall[[#This Row],[START]]),MINUTE(Rainfall[[#This Row],[START]]),0)</f>
        <v>0</v>
      </c>
      <c r="G51" s="146">
        <f>TIME(HOUR(Rainfall[[#This Row],[FINISH]]),MINUTE(Rainfall[[#This Row],[FINISH]]),0)</f>
        <v>0</v>
      </c>
      <c r="H51" s="144">
        <f t="shared" si="1"/>
        <v>1</v>
      </c>
      <c r="I51" s="148">
        <f t="shared" si="2"/>
        <v>0</v>
      </c>
      <c r="J51" s="148">
        <f t="shared" si="3"/>
        <v>0</v>
      </c>
      <c r="K51" s="148" t="str">
        <f t="shared" si="4"/>
        <v/>
      </c>
      <c r="L51" s="144"/>
      <c r="M51" s="144"/>
      <c r="N51" s="144"/>
      <c r="O51" s="105" t="str">
        <f>Rainfall[[#This Row],[DAY]]&amp;Rainfall[[#This Row],[Freq.]]&amp;Rainfall[[#This Row],[PIT]]&amp;Rainfall[[#This Row],[REMARK]]</f>
        <v/>
      </c>
      <c r="P51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1" s="144" t="str">
        <f>Rainfall[[#This Row],[AdjR]]</f>
        <v/>
      </c>
      <c r="R51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1" s="144" t="str">
        <f>Rainfall[[#This Row],[AdjS]]</f>
        <v/>
      </c>
      <c r="T51" s="105">
        <f>Rainfall[[#This Row],[RAINFALL (mm)]]</f>
        <v>0</v>
      </c>
      <c r="U51" s="105" t="str">
        <f>Rainfall[[#This Row],[DAY]]&amp;Rainfall[[#This Row],[REMARK]]&amp;Rainfall[[#This Row],[CONTRACTOR]]</f>
        <v/>
      </c>
      <c r="V51" s="130" t="str">
        <f>IF(Rainfall[[#This Row],[REMARK]]="Rain",1,"")</f>
        <v/>
      </c>
      <c r="W51" s="105" t="e">
        <f>VLOOKUP($A51,OB!$AO$2:$AR$32,4,0)</f>
        <v>#N/A</v>
      </c>
    </row>
    <row r="52" spans="1:23">
      <c r="A52" s="144"/>
      <c r="B52" s="144"/>
      <c r="C52" s="144"/>
      <c r="D52" s="145"/>
      <c r="E52" s="145"/>
      <c r="F52" s="146">
        <f>TIME(HOUR(Rainfall[[#This Row],[START]]),MINUTE(Rainfall[[#This Row],[START]]),0)</f>
        <v>0</v>
      </c>
      <c r="G52" s="146">
        <f>TIME(HOUR(Rainfall[[#This Row],[FINISH]]),MINUTE(Rainfall[[#This Row],[FINISH]]),0)</f>
        <v>0</v>
      </c>
      <c r="H52" s="144">
        <f t="shared" si="1"/>
        <v>1</v>
      </c>
      <c r="I52" s="148">
        <f t="shared" si="2"/>
        <v>0</v>
      </c>
      <c r="J52" s="148">
        <f t="shared" si="3"/>
        <v>0</v>
      </c>
      <c r="K52" s="148" t="str">
        <f t="shared" si="4"/>
        <v/>
      </c>
      <c r="L52" s="144"/>
      <c r="M52" s="144"/>
      <c r="N52" s="144"/>
      <c r="O52" s="105" t="str">
        <f>Rainfall[[#This Row],[DAY]]&amp;Rainfall[[#This Row],[Freq.]]&amp;Rainfall[[#This Row],[PIT]]&amp;Rainfall[[#This Row],[REMARK]]</f>
        <v/>
      </c>
      <c r="P52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2" s="144" t="str">
        <f>Rainfall[[#This Row],[AdjR]]</f>
        <v/>
      </c>
      <c r="R52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2" s="144" t="str">
        <f>Rainfall[[#This Row],[AdjS]]</f>
        <v/>
      </c>
      <c r="T52" s="105">
        <f>Rainfall[[#This Row],[RAINFALL (mm)]]</f>
        <v>0</v>
      </c>
      <c r="U52" s="105" t="str">
        <f>Rainfall[[#This Row],[DAY]]&amp;Rainfall[[#This Row],[REMARK]]&amp;Rainfall[[#This Row],[CONTRACTOR]]</f>
        <v/>
      </c>
      <c r="V52" s="130" t="str">
        <f>IF(Rainfall[[#This Row],[REMARK]]="Rain",1,"")</f>
        <v/>
      </c>
      <c r="W52" s="105" t="e">
        <f>VLOOKUP($A52,OB!$AO$2:$AR$32,4,0)</f>
        <v>#N/A</v>
      </c>
    </row>
    <row r="53" spans="1:23">
      <c r="A53" s="144"/>
      <c r="B53" s="144"/>
      <c r="C53" s="144"/>
      <c r="D53" s="145"/>
      <c r="E53" s="145"/>
      <c r="F53" s="146">
        <f>TIME(HOUR(Rainfall[[#This Row],[START]]),MINUTE(Rainfall[[#This Row],[START]]),0)</f>
        <v>0</v>
      </c>
      <c r="G53" s="146">
        <f>TIME(HOUR(Rainfall[[#This Row],[FINISH]]),MINUTE(Rainfall[[#This Row],[FINISH]]),0)</f>
        <v>0</v>
      </c>
      <c r="H53" s="144">
        <f t="shared" si="1"/>
        <v>1</v>
      </c>
      <c r="I53" s="148">
        <f t="shared" si="2"/>
        <v>0</v>
      </c>
      <c r="J53" s="148">
        <f t="shared" si="3"/>
        <v>0</v>
      </c>
      <c r="K53" s="148" t="str">
        <f t="shared" si="4"/>
        <v/>
      </c>
      <c r="L53" s="144"/>
      <c r="M53" s="144"/>
      <c r="N53" s="144"/>
      <c r="O53" s="144" t="str">
        <f>Rainfall[[#This Row],[DAY]]&amp;Rainfall[[#This Row],[Freq.]]&amp;Rainfall[[#This Row],[PIT]]&amp;Rainfall[[#This Row],[REMARK]]</f>
        <v/>
      </c>
      <c r="P53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3" s="144" t="str">
        <f>Rainfall[[#This Row],[AdjR]]</f>
        <v/>
      </c>
      <c r="R53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3" s="144" t="str">
        <f>Rainfall[[#This Row],[AdjS]]</f>
        <v/>
      </c>
      <c r="T53" s="144">
        <f>Rainfall[[#This Row],[RAINFALL (mm)]]</f>
        <v>0</v>
      </c>
      <c r="U53" s="144" t="str">
        <f>Rainfall[[#This Row],[DAY]]&amp;Rainfall[[#This Row],[REMARK]]&amp;Rainfall[[#This Row],[CONTRACTOR]]</f>
        <v/>
      </c>
      <c r="V53" s="150" t="str">
        <f>IF(Rainfall[[#This Row],[REMARK]]="Rain",1,"")</f>
        <v/>
      </c>
      <c r="W53" s="105" t="e">
        <f>VLOOKUP($A53,OB!$AO$2:$AR$32,4,0)</f>
        <v>#N/A</v>
      </c>
    </row>
    <row r="54" spans="1:23">
      <c r="B54" s="144"/>
      <c r="C54" s="144"/>
      <c r="D54" s="145"/>
      <c r="E54" s="145"/>
      <c r="F54" s="146">
        <f>TIME(HOUR(Rainfall[[#This Row],[START]]),MINUTE(Rainfall[[#This Row],[START]]),0)</f>
        <v>0</v>
      </c>
      <c r="G54" s="146">
        <f>TIME(HOUR(Rainfall[[#This Row],[FINISH]]),MINUTE(Rainfall[[#This Row],[FINISH]]),0)</f>
        <v>0</v>
      </c>
      <c r="H54" s="144">
        <f t="shared" si="1"/>
        <v>1</v>
      </c>
      <c r="I54" s="148">
        <f t="shared" si="2"/>
        <v>0</v>
      </c>
      <c r="J54" s="148">
        <f t="shared" si="3"/>
        <v>0</v>
      </c>
      <c r="K54" s="148" t="str">
        <f t="shared" si="4"/>
        <v/>
      </c>
      <c r="L54" s="144"/>
      <c r="M54" s="144"/>
      <c r="N54" s="144"/>
      <c r="O54" s="105" t="str">
        <f>Rainfall[[#This Row],[DAY]]&amp;Rainfall[[#This Row],[Freq.]]&amp;Rainfall[[#This Row],[PIT]]&amp;Rainfall[[#This Row],[REMARK]]</f>
        <v/>
      </c>
      <c r="P54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4" s="144" t="str">
        <f>Rainfall[[#This Row],[AdjR]]</f>
        <v/>
      </c>
      <c r="R54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4" s="144" t="str">
        <f>Rainfall[[#This Row],[AdjS]]</f>
        <v/>
      </c>
      <c r="T54" s="105">
        <f>Rainfall[[#This Row],[RAINFALL (mm)]]</f>
        <v>0</v>
      </c>
      <c r="U54" s="105" t="str">
        <f>Rainfall[[#This Row],[DAY]]&amp;Rainfall[[#This Row],[REMARK]]&amp;Rainfall[[#This Row],[CONTRACTOR]]</f>
        <v/>
      </c>
      <c r="V54" s="130" t="str">
        <f>IF(Rainfall[[#This Row],[REMARK]]="Rain",1,"")</f>
        <v/>
      </c>
      <c r="W54" s="105" t="e">
        <f>VLOOKUP($A54,OB!$AO$2:$AR$32,4,0)</f>
        <v>#N/A</v>
      </c>
    </row>
    <row r="55" spans="1:23">
      <c r="A55" s="144"/>
      <c r="B55" s="144"/>
      <c r="C55" s="144"/>
      <c r="D55" s="145"/>
      <c r="E55" s="145"/>
      <c r="F55" s="146">
        <f>TIME(HOUR(Rainfall[[#This Row],[START]]),MINUTE(Rainfall[[#This Row],[START]]),0)</f>
        <v>0</v>
      </c>
      <c r="G55" s="146">
        <f>TIME(HOUR(Rainfall[[#This Row],[FINISH]]),MINUTE(Rainfall[[#This Row],[FINISH]]),0)</f>
        <v>0</v>
      </c>
      <c r="H55" s="144">
        <f t="shared" si="1"/>
        <v>1</v>
      </c>
      <c r="I55" s="148">
        <f t="shared" si="2"/>
        <v>0</v>
      </c>
      <c r="J55" s="148">
        <f t="shared" si="3"/>
        <v>0</v>
      </c>
      <c r="K55" s="148" t="str">
        <f t="shared" si="4"/>
        <v/>
      </c>
      <c r="L55" s="144"/>
      <c r="M55" s="144"/>
      <c r="N55" s="144"/>
      <c r="O55" s="144" t="str">
        <f>Rainfall[[#This Row],[DAY]]&amp;Rainfall[[#This Row],[Freq.]]&amp;Rainfall[[#This Row],[PIT]]&amp;Rainfall[[#This Row],[REMARK]]</f>
        <v/>
      </c>
      <c r="P55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5" s="144" t="str">
        <f>Rainfall[[#This Row],[AdjR]]</f>
        <v/>
      </c>
      <c r="R55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5" s="144" t="str">
        <f>Rainfall[[#This Row],[AdjS]]</f>
        <v/>
      </c>
      <c r="T55" s="144">
        <f>Rainfall[[#This Row],[RAINFALL (mm)]]</f>
        <v>0</v>
      </c>
      <c r="U55" s="144" t="str">
        <f>Rainfall[[#This Row],[DAY]]&amp;Rainfall[[#This Row],[REMARK]]&amp;Rainfall[[#This Row],[CONTRACTOR]]</f>
        <v/>
      </c>
      <c r="V55" s="150" t="str">
        <f>IF(Rainfall[[#This Row],[REMARK]]="Rain",1,"")</f>
        <v/>
      </c>
      <c r="W55" s="105" t="e">
        <f>VLOOKUP($A55,OB!$AO$2:$AR$32,4,0)</f>
        <v>#N/A</v>
      </c>
    </row>
    <row r="56" spans="1:23">
      <c r="B56" s="144"/>
      <c r="C56" s="144"/>
      <c r="D56" s="145"/>
      <c r="E56" s="145"/>
      <c r="F56" s="146">
        <f>TIME(HOUR(Rainfall[[#This Row],[START]]),MINUTE(Rainfall[[#This Row],[START]]),0)</f>
        <v>0</v>
      </c>
      <c r="G56" s="146">
        <f>TIME(HOUR(Rainfall[[#This Row],[FINISH]]),MINUTE(Rainfall[[#This Row],[FINISH]]),0)</f>
        <v>0</v>
      </c>
      <c r="H56" s="144">
        <f t="shared" si="1"/>
        <v>1</v>
      </c>
      <c r="I56" s="148">
        <f t="shared" si="2"/>
        <v>0</v>
      </c>
      <c r="J56" s="148">
        <f t="shared" si="3"/>
        <v>0</v>
      </c>
      <c r="K56" s="148" t="str">
        <f t="shared" si="4"/>
        <v/>
      </c>
      <c r="L56" s="144"/>
      <c r="M56" s="144"/>
      <c r="N56" s="144"/>
      <c r="O56" s="105" t="str">
        <f>Rainfall[[#This Row],[DAY]]&amp;Rainfall[[#This Row],[Freq.]]&amp;Rainfall[[#This Row],[PIT]]&amp;Rainfall[[#This Row],[REMARK]]</f>
        <v/>
      </c>
      <c r="P56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6" s="144" t="str">
        <f>Rainfall[[#This Row],[AdjR]]</f>
        <v/>
      </c>
      <c r="R56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6" s="144" t="str">
        <f>Rainfall[[#This Row],[AdjS]]</f>
        <v/>
      </c>
      <c r="T56" s="105">
        <f>Rainfall[[#This Row],[RAINFALL (mm)]]</f>
        <v>0</v>
      </c>
      <c r="U56" s="105" t="str">
        <f>Rainfall[[#This Row],[DAY]]&amp;Rainfall[[#This Row],[REMARK]]&amp;Rainfall[[#This Row],[CONTRACTOR]]</f>
        <v/>
      </c>
      <c r="V56" s="130" t="str">
        <f>IF(Rainfall[[#This Row],[REMARK]]="Rain",1,"")</f>
        <v/>
      </c>
      <c r="W56" s="105" t="e">
        <f>VLOOKUP($A56,OB!$AO$2:$AR$32,4,0)</f>
        <v>#N/A</v>
      </c>
    </row>
    <row r="57" spans="1:23">
      <c r="A57" s="144"/>
      <c r="B57" s="144"/>
      <c r="C57" s="144"/>
      <c r="D57" s="145"/>
      <c r="E57" s="145"/>
      <c r="F57" s="146">
        <f>TIME(HOUR(Rainfall[[#This Row],[START]]),MINUTE(Rainfall[[#This Row],[START]]),0)</f>
        <v>0</v>
      </c>
      <c r="G57" s="146">
        <f>TIME(HOUR(Rainfall[[#This Row],[FINISH]]),MINUTE(Rainfall[[#This Row],[FINISH]]),0)</f>
        <v>0</v>
      </c>
      <c r="H57" s="144">
        <f t="shared" si="1"/>
        <v>1</v>
      </c>
      <c r="I57" s="148">
        <f t="shared" si="2"/>
        <v>0</v>
      </c>
      <c r="J57" s="148">
        <f t="shared" si="3"/>
        <v>0</v>
      </c>
      <c r="K57" s="148" t="str">
        <f t="shared" si="4"/>
        <v/>
      </c>
      <c r="L57" s="144"/>
      <c r="M57" s="144"/>
      <c r="N57" s="144"/>
      <c r="O57" s="144" t="str">
        <f>Rainfall[[#This Row],[DAY]]&amp;Rainfall[[#This Row],[Freq.]]&amp;Rainfall[[#This Row],[PIT]]&amp;Rainfall[[#This Row],[REMARK]]</f>
        <v/>
      </c>
      <c r="P57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7" s="144" t="str">
        <f>Rainfall[[#This Row],[AdjR]]</f>
        <v/>
      </c>
      <c r="R57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7" s="144" t="str">
        <f>Rainfall[[#This Row],[AdjS]]</f>
        <v/>
      </c>
      <c r="T57" s="144">
        <f>Rainfall[[#This Row],[RAINFALL (mm)]]</f>
        <v>0</v>
      </c>
      <c r="U57" s="144" t="str">
        <f>Rainfall[[#This Row],[DAY]]&amp;Rainfall[[#This Row],[REMARK]]&amp;Rainfall[[#This Row],[CONTRACTOR]]</f>
        <v/>
      </c>
      <c r="V57" s="150" t="str">
        <f>IF(Rainfall[[#This Row],[REMARK]]="Rain",1,"")</f>
        <v/>
      </c>
      <c r="W57" s="105" t="e">
        <f>VLOOKUP($A57,OB!$AO$2:$AR$32,4,0)</f>
        <v>#N/A</v>
      </c>
    </row>
    <row r="58" spans="1:23">
      <c r="A58" s="144"/>
      <c r="B58" s="144"/>
      <c r="C58" s="144"/>
      <c r="D58" s="145"/>
      <c r="E58" s="145"/>
      <c r="F58" s="146">
        <f>TIME(HOUR(Rainfall[[#This Row],[START]]),MINUTE(Rainfall[[#This Row],[START]]),0)</f>
        <v>0</v>
      </c>
      <c r="G58" s="146">
        <f>TIME(HOUR(Rainfall[[#This Row],[FINISH]]),MINUTE(Rainfall[[#This Row],[FINISH]]),0)</f>
        <v>0</v>
      </c>
      <c r="H58" s="144">
        <f t="shared" ref="H58:H62" si="5">IF(AND(DAY(E58)=DAY(D58),F58&lt;=TIME(12,0,0),G58&lt;=TIME(12,0,0)),1,IF(AND(DAY(E58)=DAY(D58),F58&lt;=TIME(12,0,0),G58&gt;TIME(12,0,0)),2,IF(AND(DAY(E58)=DAY(D58),F58&gt;TIME(12,0,0),G58&gt;TIME(12,0,0)),3,IF(AND(DAY(E58)&gt;DAY(D58),F58&gt;TIME(12,0,0),G58=TIME(0,0,0)),4,IF(AND(DAY(E58)&gt;DAY(D58),F58&lt;=TIME(12,0,0),G58=TIME(0,0,0)),5,6)))))</f>
        <v>1</v>
      </c>
      <c r="I58" s="148">
        <f t="shared" ref="I58:I62" si="6">ROUNDUP(IF(H58=1,(G58-F58)*24,IF(H58=2,(TIME(12,0,0)-F58)*24,IF(H58=3,0,IF(H58=4,0,(TIME(12,0,0)-F58)*24)))),2)</f>
        <v>0</v>
      </c>
      <c r="J58" s="148">
        <f t="shared" ref="J58:J62" si="7">ROUNDUP(IF(H58=1,0,IF(H58=2,(G58-TIME(12,0,0))*24,IF(H58=3,(G58-F58)*24,IF(H58=4,(TIME(23,59,59)-F58)*24,((TIME(12,0,0)*24)))))),2)</f>
        <v>0</v>
      </c>
      <c r="K58" s="148" t="str">
        <f t="shared" ref="K58:K62" si="8">IF((E58-D58)*24=0,"",(E58-D58)*24)</f>
        <v/>
      </c>
      <c r="L58" s="144"/>
      <c r="M58" s="144"/>
      <c r="N58" s="144"/>
      <c r="O58" s="144" t="str">
        <f>Rainfall[[#This Row],[DAY]]&amp;Rainfall[[#This Row],[Freq.]]&amp;Rainfall[[#This Row],[PIT]]&amp;Rainfall[[#This Row],[REMARK]]</f>
        <v/>
      </c>
      <c r="P58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8" s="144" t="str">
        <f>Rainfall[[#This Row],[AdjR]]</f>
        <v/>
      </c>
      <c r="R58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8" s="144" t="str">
        <f>Rainfall[[#This Row],[AdjS]]</f>
        <v/>
      </c>
      <c r="T58" s="144">
        <f>Rainfall[[#This Row],[RAINFALL (mm)]]</f>
        <v>0</v>
      </c>
      <c r="U58" s="144" t="str">
        <f>Rainfall[[#This Row],[DAY]]&amp;Rainfall[[#This Row],[REMARK]]&amp;Rainfall[[#This Row],[CONTRACTOR]]</f>
        <v/>
      </c>
      <c r="V58" s="150" t="str">
        <f>IF(Rainfall[[#This Row],[REMARK]]="Rain",1,"")</f>
        <v/>
      </c>
      <c r="W58" s="105" t="e">
        <f>VLOOKUP($A58,OB!$AO$2:$AR$32,4,0)</f>
        <v>#N/A</v>
      </c>
    </row>
    <row r="59" spans="1:23">
      <c r="B59" s="144"/>
      <c r="C59" s="144"/>
      <c r="D59" s="145"/>
      <c r="E59" s="145"/>
      <c r="F59" s="146">
        <f>TIME(HOUR(Rainfall[[#This Row],[START]]),MINUTE(Rainfall[[#This Row],[START]]),0)</f>
        <v>0</v>
      </c>
      <c r="G59" s="146">
        <f>TIME(HOUR(Rainfall[[#This Row],[FINISH]]),MINUTE(Rainfall[[#This Row],[FINISH]]),0)</f>
        <v>0</v>
      </c>
      <c r="H59" s="144">
        <f t="shared" si="5"/>
        <v>1</v>
      </c>
      <c r="I59" s="148">
        <f t="shared" si="6"/>
        <v>0</v>
      </c>
      <c r="J59" s="148">
        <f t="shared" si="7"/>
        <v>0</v>
      </c>
      <c r="K59" s="148" t="str">
        <f t="shared" si="8"/>
        <v/>
      </c>
      <c r="L59" s="144"/>
      <c r="M59" s="144"/>
      <c r="N59" s="144"/>
      <c r="O59" s="105" t="str">
        <f>Rainfall[[#This Row],[DAY]]&amp;Rainfall[[#This Row],[Freq.]]&amp;Rainfall[[#This Row],[PIT]]&amp;Rainfall[[#This Row],[REMARK]]</f>
        <v/>
      </c>
      <c r="P59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59" s="144" t="str">
        <f>Rainfall[[#This Row],[AdjR]]</f>
        <v/>
      </c>
      <c r="R59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59" s="144" t="str">
        <f>Rainfall[[#This Row],[AdjS]]</f>
        <v/>
      </c>
      <c r="T59" s="105">
        <f>Rainfall[[#This Row],[RAINFALL (mm)]]</f>
        <v>0</v>
      </c>
      <c r="U59" s="105" t="str">
        <f>Rainfall[[#This Row],[DAY]]&amp;Rainfall[[#This Row],[REMARK]]&amp;Rainfall[[#This Row],[CONTRACTOR]]</f>
        <v/>
      </c>
      <c r="V59" s="130" t="str">
        <f>IF(Rainfall[[#This Row],[REMARK]]="Rain",1,"")</f>
        <v/>
      </c>
      <c r="W59" s="105" t="e">
        <f>VLOOKUP($A59,OB!$AO$2:$AR$32,4,0)</f>
        <v>#N/A</v>
      </c>
    </row>
    <row r="60" spans="1:23">
      <c r="A60" s="144"/>
      <c r="B60" s="144"/>
      <c r="C60" s="144"/>
      <c r="D60" s="145"/>
      <c r="E60" s="145"/>
      <c r="F60" s="146">
        <f>TIME(HOUR(Rainfall[[#This Row],[START]]),MINUTE(Rainfall[[#This Row],[START]]),0)</f>
        <v>0</v>
      </c>
      <c r="G60" s="146">
        <f>TIME(HOUR(Rainfall[[#This Row],[FINISH]]),MINUTE(Rainfall[[#This Row],[FINISH]]),0)</f>
        <v>0</v>
      </c>
      <c r="H60" s="144">
        <f t="shared" si="5"/>
        <v>1</v>
      </c>
      <c r="I60" s="148">
        <f t="shared" si="6"/>
        <v>0</v>
      </c>
      <c r="J60" s="148">
        <f t="shared" si="7"/>
        <v>0</v>
      </c>
      <c r="K60" s="148" t="str">
        <f t="shared" si="8"/>
        <v/>
      </c>
      <c r="L60" s="144"/>
      <c r="M60" s="144"/>
      <c r="N60" s="144"/>
      <c r="O60" s="144" t="str">
        <f>Rainfall[[#This Row],[DAY]]&amp;Rainfall[[#This Row],[Freq.]]&amp;Rainfall[[#This Row],[PIT]]&amp;Rainfall[[#This Row],[REMARK]]</f>
        <v/>
      </c>
      <c r="P60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0" s="144" t="str">
        <f>Rainfall[[#This Row],[AdjR]]</f>
        <v/>
      </c>
      <c r="R60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0" s="144" t="str">
        <f>Rainfall[[#This Row],[AdjS]]</f>
        <v/>
      </c>
      <c r="T60" s="144">
        <f>Rainfall[[#This Row],[RAINFALL (mm)]]</f>
        <v>0</v>
      </c>
      <c r="U60" s="144" t="str">
        <f>Rainfall[[#This Row],[DAY]]&amp;Rainfall[[#This Row],[REMARK]]&amp;Rainfall[[#This Row],[CONTRACTOR]]</f>
        <v/>
      </c>
      <c r="V60" s="150" t="str">
        <f>IF(Rainfall[[#This Row],[REMARK]]="Rain",1,"")</f>
        <v/>
      </c>
      <c r="W60" s="105" t="e">
        <f>VLOOKUP($A60,OB!$AO$2:$AR$32,4,0)</f>
        <v>#N/A</v>
      </c>
    </row>
    <row r="61" spans="1:23">
      <c r="A61" s="144"/>
      <c r="B61" s="144"/>
      <c r="C61" s="144"/>
      <c r="D61" s="145"/>
      <c r="E61" s="145"/>
      <c r="F61" s="146">
        <f>TIME(HOUR(Rainfall[[#This Row],[START]]),MINUTE(Rainfall[[#This Row],[START]]),0)</f>
        <v>0</v>
      </c>
      <c r="G61" s="146">
        <f>TIME(HOUR(Rainfall[[#This Row],[FINISH]]),MINUTE(Rainfall[[#This Row],[FINISH]]),0)</f>
        <v>0</v>
      </c>
      <c r="H61" s="144">
        <f t="shared" si="5"/>
        <v>1</v>
      </c>
      <c r="I61" s="148">
        <f t="shared" si="6"/>
        <v>0</v>
      </c>
      <c r="J61" s="148">
        <f t="shared" si="7"/>
        <v>0</v>
      </c>
      <c r="K61" s="148" t="str">
        <f t="shared" si="8"/>
        <v/>
      </c>
      <c r="L61" s="144"/>
      <c r="M61" s="144"/>
      <c r="N61" s="144"/>
      <c r="O61" s="105" t="str">
        <f>Rainfall[[#This Row],[DAY]]&amp;Rainfall[[#This Row],[Freq.]]&amp;Rainfall[[#This Row],[PIT]]&amp;Rainfall[[#This Row],[REMARK]]</f>
        <v/>
      </c>
      <c r="P61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1" s="144" t="str">
        <f>Rainfall[[#This Row],[AdjR]]</f>
        <v/>
      </c>
      <c r="R61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1" s="144" t="str">
        <f>Rainfall[[#This Row],[AdjS]]</f>
        <v/>
      </c>
      <c r="T61" s="105">
        <f>Rainfall[[#This Row],[RAINFALL (mm)]]</f>
        <v>0</v>
      </c>
      <c r="U61" s="105" t="str">
        <f>Rainfall[[#This Row],[DAY]]&amp;Rainfall[[#This Row],[REMARK]]&amp;Rainfall[[#This Row],[CONTRACTOR]]</f>
        <v/>
      </c>
      <c r="V61" s="130" t="str">
        <f>IF(Rainfall[[#This Row],[REMARK]]="Rain",1,"")</f>
        <v/>
      </c>
      <c r="W61" s="105" t="e">
        <f>VLOOKUP($A61,OB!$AO$2:$AR$32,4,0)</f>
        <v>#N/A</v>
      </c>
    </row>
    <row r="62" spans="1:23">
      <c r="A62" s="144"/>
      <c r="B62" s="144"/>
      <c r="C62" s="144"/>
      <c r="D62" s="145"/>
      <c r="E62" s="145"/>
      <c r="F62" s="146">
        <f>TIME(HOUR(Rainfall[[#This Row],[START]]),MINUTE(Rainfall[[#This Row],[START]]),0)</f>
        <v>0</v>
      </c>
      <c r="G62" s="146">
        <f>TIME(HOUR(Rainfall[[#This Row],[FINISH]]),MINUTE(Rainfall[[#This Row],[FINISH]]),0)</f>
        <v>0</v>
      </c>
      <c r="H62" s="144">
        <f t="shared" si="5"/>
        <v>1</v>
      </c>
      <c r="I62" s="148">
        <f t="shared" si="6"/>
        <v>0</v>
      </c>
      <c r="J62" s="148">
        <f t="shared" si="7"/>
        <v>0</v>
      </c>
      <c r="K62" s="148" t="str">
        <f t="shared" si="8"/>
        <v/>
      </c>
      <c r="L62" s="144"/>
      <c r="M62" s="144"/>
      <c r="N62" s="144"/>
      <c r="O62" s="144" t="str">
        <f>Rainfall[[#This Row],[DAY]]&amp;Rainfall[[#This Row],[Freq.]]&amp;Rainfall[[#This Row],[PIT]]&amp;Rainfall[[#This Row],[REMARK]]</f>
        <v/>
      </c>
      <c r="P62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2" s="144" t="str">
        <f>Rainfall[[#This Row],[AdjR]]</f>
        <v/>
      </c>
      <c r="R62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2" s="144" t="str">
        <f>Rainfall[[#This Row],[AdjS]]</f>
        <v/>
      </c>
      <c r="T62" s="144">
        <f>Rainfall[[#This Row],[RAINFALL (mm)]]</f>
        <v>0</v>
      </c>
      <c r="U62" s="144" t="str">
        <f>Rainfall[[#This Row],[DAY]]&amp;Rainfall[[#This Row],[REMARK]]&amp;Rainfall[[#This Row],[CONTRACTOR]]</f>
        <v/>
      </c>
      <c r="V62" s="150" t="str">
        <f>IF(Rainfall[[#This Row],[REMARK]]="Rain",1,"")</f>
        <v/>
      </c>
      <c r="W62" s="105" t="e">
        <f>VLOOKUP($A62,OB!$AO$2:$AR$32,4,0)</f>
        <v>#N/A</v>
      </c>
    </row>
    <row r="63" spans="1:23">
      <c r="A63" s="144"/>
      <c r="B63" s="144"/>
      <c r="C63" s="144"/>
      <c r="D63" s="145"/>
      <c r="E63" s="145"/>
      <c r="F63" s="146">
        <f>TIME(HOUR(Rainfall[[#This Row],[START]]),MINUTE(Rainfall[[#This Row],[START]]),0)</f>
        <v>0</v>
      </c>
      <c r="G63" s="146">
        <f>TIME(HOUR(Rainfall[[#This Row],[FINISH]]),MINUTE(Rainfall[[#This Row],[FINISH]]),0)</f>
        <v>0</v>
      </c>
      <c r="H63" s="144">
        <f t="shared" ref="H63:H67" si="9">IF(AND(DAY(E63)=DAY(D63),F63&lt;=TIME(12,0,0),G63&lt;=TIME(12,0,0)),1,IF(AND(DAY(E63)=DAY(D63),F63&lt;=TIME(12,0,0),G63&gt;TIME(12,0,0)),2,IF(AND(DAY(E63)=DAY(D63),F63&gt;TIME(12,0,0),G63&gt;TIME(12,0,0)),3,IF(AND(DAY(E63)&gt;DAY(D63),F63&gt;TIME(12,0,0),G63=TIME(0,0,0)),4,IF(AND(DAY(E63)&gt;DAY(D63),F63&lt;=TIME(12,0,0),G63=TIME(0,0,0)),5,6)))))</f>
        <v>1</v>
      </c>
      <c r="I63" s="148">
        <f t="shared" ref="I63:I67" si="10">ROUNDUP(IF(H63=1,(G63-F63)*24,IF(H63=2,(TIME(12,0,0)-F63)*24,IF(H63=3,0,IF(H63=4,0,(TIME(12,0,0)-F63)*24)))),2)</f>
        <v>0</v>
      </c>
      <c r="J63" s="148">
        <f t="shared" ref="J63:J67" si="11">ROUNDUP(IF(H63=1,0,IF(H63=2,(G63-TIME(12,0,0))*24,IF(H63=3,(G63-F63)*24,IF(H63=4,(TIME(23,59,59)-F63)*24,((TIME(12,0,0)*24)))))),2)</f>
        <v>0</v>
      </c>
      <c r="K63" s="148" t="str">
        <f t="shared" ref="K63:K67" si="12">IF((E63-D63)*24=0,"",(E63-D63)*24)</f>
        <v/>
      </c>
      <c r="L63" s="144"/>
      <c r="M63" s="144"/>
      <c r="N63" s="144"/>
      <c r="O63" s="144" t="str">
        <f>Rainfall[[#This Row],[DAY]]&amp;Rainfall[[#This Row],[Freq.]]&amp;Rainfall[[#This Row],[PIT]]&amp;Rainfall[[#This Row],[REMARK]]</f>
        <v/>
      </c>
      <c r="P63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3" s="144" t="str">
        <f>Rainfall[[#This Row],[AdjR]]</f>
        <v/>
      </c>
      <c r="R63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3" s="144" t="str">
        <f>Rainfall[[#This Row],[AdjS]]</f>
        <v/>
      </c>
      <c r="T63" s="144">
        <f>Rainfall[[#This Row],[RAINFALL (mm)]]</f>
        <v>0</v>
      </c>
      <c r="U63" s="144" t="str">
        <f>Rainfall[[#This Row],[DAY]]&amp;Rainfall[[#This Row],[REMARK]]&amp;Rainfall[[#This Row],[CONTRACTOR]]</f>
        <v/>
      </c>
      <c r="V63" s="150" t="str">
        <f>IF(Rainfall[[#This Row],[REMARK]]="Rain",1,"")</f>
        <v/>
      </c>
      <c r="W63" s="105" t="e">
        <f>VLOOKUP($A63,OB!$AO$2:$AR$32,4,0)</f>
        <v>#N/A</v>
      </c>
    </row>
    <row r="64" spans="1:23">
      <c r="A64" s="144"/>
      <c r="B64" s="144"/>
      <c r="C64" s="144"/>
      <c r="D64" s="145"/>
      <c r="E64" s="145"/>
      <c r="F64" s="146">
        <f>TIME(HOUR(Rainfall[[#This Row],[START]]),MINUTE(Rainfall[[#This Row],[START]]),0)</f>
        <v>0</v>
      </c>
      <c r="G64" s="146">
        <f>TIME(HOUR(Rainfall[[#This Row],[FINISH]]),MINUTE(Rainfall[[#This Row],[FINISH]]),0)</f>
        <v>0</v>
      </c>
      <c r="H64" s="144">
        <f t="shared" si="9"/>
        <v>1</v>
      </c>
      <c r="I64" s="148">
        <f t="shared" si="10"/>
        <v>0</v>
      </c>
      <c r="J64" s="148">
        <f t="shared" si="11"/>
        <v>0</v>
      </c>
      <c r="K64" s="148" t="str">
        <f t="shared" si="12"/>
        <v/>
      </c>
      <c r="L64" s="144"/>
      <c r="M64" s="144"/>
      <c r="N64" s="144"/>
      <c r="O64" s="105" t="str">
        <f>Rainfall[[#This Row],[DAY]]&amp;Rainfall[[#This Row],[Freq.]]&amp;Rainfall[[#This Row],[PIT]]&amp;Rainfall[[#This Row],[REMARK]]</f>
        <v/>
      </c>
      <c r="P64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4" s="144" t="str">
        <f>Rainfall[[#This Row],[AdjR]]</f>
        <v/>
      </c>
      <c r="R64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4" s="144" t="str">
        <f>Rainfall[[#This Row],[AdjS]]</f>
        <v/>
      </c>
      <c r="T64" s="105">
        <f>Rainfall[[#This Row],[RAINFALL (mm)]]</f>
        <v>0</v>
      </c>
      <c r="U64" s="105" t="str">
        <f>Rainfall[[#This Row],[DAY]]&amp;Rainfall[[#This Row],[REMARK]]&amp;Rainfall[[#This Row],[CONTRACTOR]]</f>
        <v/>
      </c>
      <c r="V64" s="130" t="str">
        <f>IF(Rainfall[[#This Row],[REMARK]]="Rain",1,"")</f>
        <v/>
      </c>
      <c r="W64" s="105" t="e">
        <f>VLOOKUP($A64,OB!$AO$2:$AR$32,4,0)</f>
        <v>#N/A</v>
      </c>
    </row>
    <row r="65" spans="1:23">
      <c r="A65" s="144"/>
      <c r="B65" s="144"/>
      <c r="C65" s="144"/>
      <c r="D65" s="145"/>
      <c r="E65" s="145"/>
      <c r="F65" s="146">
        <f>TIME(HOUR(Rainfall[[#This Row],[START]]),MINUTE(Rainfall[[#This Row],[START]]),0)</f>
        <v>0</v>
      </c>
      <c r="G65" s="146">
        <f>TIME(HOUR(Rainfall[[#This Row],[FINISH]]),MINUTE(Rainfall[[#This Row],[FINISH]]),0)</f>
        <v>0</v>
      </c>
      <c r="H65" s="144">
        <f t="shared" si="9"/>
        <v>1</v>
      </c>
      <c r="I65" s="148">
        <f t="shared" si="10"/>
        <v>0</v>
      </c>
      <c r="J65" s="148">
        <f t="shared" si="11"/>
        <v>0</v>
      </c>
      <c r="K65" s="148" t="str">
        <f t="shared" si="12"/>
        <v/>
      </c>
      <c r="L65" s="144"/>
      <c r="M65" s="144"/>
      <c r="N65" s="144"/>
      <c r="O65" s="105" t="str">
        <f>Rainfall[[#This Row],[DAY]]&amp;Rainfall[[#This Row],[Freq.]]&amp;Rainfall[[#This Row],[PIT]]&amp;Rainfall[[#This Row],[REMARK]]</f>
        <v/>
      </c>
      <c r="P65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5" s="144" t="str">
        <f>Rainfall[[#This Row],[AdjR]]</f>
        <v/>
      </c>
      <c r="R65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5" s="144" t="str">
        <f>Rainfall[[#This Row],[AdjS]]</f>
        <v/>
      </c>
      <c r="T65" s="105">
        <f>Rainfall[[#This Row],[RAINFALL (mm)]]</f>
        <v>0</v>
      </c>
      <c r="U65" s="105" t="str">
        <f>Rainfall[[#This Row],[DAY]]&amp;Rainfall[[#This Row],[REMARK]]&amp;Rainfall[[#This Row],[CONTRACTOR]]</f>
        <v/>
      </c>
      <c r="V65" s="130" t="str">
        <f>IF(Rainfall[[#This Row],[REMARK]]="Rain",1,"")</f>
        <v/>
      </c>
      <c r="W65" s="105" t="e">
        <f>VLOOKUP($A65,OB!$AO$2:$AR$32,4,0)</f>
        <v>#N/A</v>
      </c>
    </row>
    <row r="66" spans="1:23">
      <c r="A66" s="144"/>
      <c r="B66" s="144"/>
      <c r="C66" s="144"/>
      <c r="D66" s="145"/>
      <c r="E66" s="145"/>
      <c r="F66" s="146">
        <f>TIME(HOUR(Rainfall[[#This Row],[START]]),MINUTE(Rainfall[[#This Row],[START]]),0)</f>
        <v>0</v>
      </c>
      <c r="G66" s="146">
        <f>TIME(HOUR(Rainfall[[#This Row],[FINISH]]),MINUTE(Rainfall[[#This Row],[FINISH]]),0)</f>
        <v>0</v>
      </c>
      <c r="H66" s="144">
        <f t="shared" si="9"/>
        <v>1</v>
      </c>
      <c r="I66" s="148">
        <f t="shared" si="10"/>
        <v>0</v>
      </c>
      <c r="J66" s="148">
        <f t="shared" si="11"/>
        <v>0</v>
      </c>
      <c r="K66" s="148" t="str">
        <f t="shared" si="12"/>
        <v/>
      </c>
      <c r="L66" s="144"/>
      <c r="M66" s="144"/>
      <c r="N66" s="144"/>
      <c r="O66" s="144" t="str">
        <f>Rainfall[[#This Row],[DAY]]&amp;Rainfall[[#This Row],[Freq.]]&amp;Rainfall[[#This Row],[PIT]]&amp;Rainfall[[#This Row],[REMARK]]</f>
        <v/>
      </c>
      <c r="P66" s="144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6" s="144" t="str">
        <f>Rainfall[[#This Row],[AdjR]]</f>
        <v/>
      </c>
      <c r="R66" s="144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6" s="144" t="str">
        <f>Rainfall[[#This Row],[AdjS]]</f>
        <v/>
      </c>
      <c r="T66" s="144">
        <f>Rainfall[[#This Row],[RAINFALL (mm)]]</f>
        <v>0</v>
      </c>
      <c r="U66" s="144" t="str">
        <f>Rainfall[[#This Row],[DAY]]&amp;Rainfall[[#This Row],[REMARK]]&amp;Rainfall[[#This Row],[CONTRACTOR]]</f>
        <v/>
      </c>
      <c r="V66" s="150" t="str">
        <f>IF(Rainfall[[#This Row],[REMARK]]="Rain",1,"")</f>
        <v/>
      </c>
      <c r="W66" s="105" t="e">
        <f>VLOOKUP($A66,OB!$AO$2:$AR$32,4,0)</f>
        <v>#N/A</v>
      </c>
    </row>
    <row r="67" spans="1:23">
      <c r="B67" s="144"/>
      <c r="C67" s="144"/>
      <c r="D67" s="145"/>
      <c r="E67" s="145"/>
      <c r="F67" s="146">
        <f>TIME(HOUR(Rainfall[[#This Row],[START]]),MINUTE(Rainfall[[#This Row],[START]]),0)</f>
        <v>0</v>
      </c>
      <c r="G67" s="146">
        <f>TIME(HOUR(Rainfall[[#This Row],[FINISH]]),MINUTE(Rainfall[[#This Row],[FINISH]]),0)</f>
        <v>0</v>
      </c>
      <c r="H67" s="144">
        <f t="shared" si="9"/>
        <v>1</v>
      </c>
      <c r="I67" s="148">
        <f t="shared" si="10"/>
        <v>0</v>
      </c>
      <c r="J67" s="148">
        <f t="shared" si="11"/>
        <v>0</v>
      </c>
      <c r="K67" s="148" t="str">
        <f t="shared" si="12"/>
        <v/>
      </c>
      <c r="L67" s="144"/>
      <c r="M67" s="144"/>
      <c r="N67" s="144"/>
      <c r="O67" s="105" t="str">
        <f>Rainfall[[#This Row],[DAY]]&amp;Rainfall[[#This Row],[Freq.]]&amp;Rainfall[[#This Row],[PIT]]&amp;Rainfall[[#This Row],[REMARK]]</f>
        <v/>
      </c>
      <c r="P67" s="105" t="str">
        <f>IF(RIGHT(Rainfall[[#This Row],[REMARK]],4)="RAIN",CONCATENATE(TEXT(Rainfall[[#This Row],[timS]],"[hh]:mm")," s/d ",TEXT(IF(Rainfall[[#This Row],[timF]]=TIME(0,0,0),TIME(23,59,59),Rainfall[[#This Row],[timF]]),"[hh]:mm")),"")</f>
        <v/>
      </c>
      <c r="Q67" s="144" t="str">
        <f>Rainfall[[#This Row],[AdjR]]</f>
        <v/>
      </c>
      <c r="R67" s="105" t="str">
        <f>IF(RIGHT(Rainfall[[#This Row],[REMARK]],4)="SLIP",CONCATENATE(TEXT(Rainfall[[#This Row],[timS]],"[hh]:mm")," s/d ",TEXT(IF(Rainfall[[#This Row],[timF]]=TIME(0,0,0),TIME(23,59,59),Rainfall[[#This Row],[timF]]),"[hh]:mm")),"")</f>
        <v/>
      </c>
      <c r="S67" s="144" t="str">
        <f>Rainfall[[#This Row],[AdjS]]</f>
        <v/>
      </c>
      <c r="T67" s="105">
        <f>Rainfall[[#This Row],[RAINFALL (mm)]]</f>
        <v>0</v>
      </c>
      <c r="U67" s="105" t="str">
        <f>Rainfall[[#This Row],[DAY]]&amp;Rainfall[[#This Row],[REMARK]]&amp;Rainfall[[#This Row],[CONTRACTOR]]</f>
        <v/>
      </c>
      <c r="V67" s="130" t="str">
        <f>IF(Rainfall[[#This Row],[REMARK]]="Rain",1,"")</f>
        <v/>
      </c>
      <c r="W67" s="105" t="e">
        <f>VLOOKUP($A67,OB!$AO$2:$AR$32,4,0)</f>
        <v>#N/A</v>
      </c>
    </row>
  </sheetData>
  <dataValidations count="3">
    <dataValidation type="list" allowBlank="1" showInputMessage="1" showErrorMessage="1" sqref="B2:B67" xr:uid="{00000000-0002-0000-0B00-000000000000}">
      <formula1>$AA$2:$AA$5</formula1>
    </dataValidation>
    <dataValidation type="list" allowBlank="1" showInputMessage="1" showErrorMessage="1" sqref="C2:C67" xr:uid="{00000000-0002-0000-0B00-000001000000}">
      <formula1>$Y$2:$Y$3</formula1>
    </dataValidation>
    <dataValidation type="list" allowBlank="1" showInputMessage="1" showErrorMessage="1" sqref="N2:N67" xr:uid="{00000000-0002-0000-0B00-000002000000}">
      <formula1>$Y$8:$Y$9</formula1>
    </dataValidation>
  </dataValidations>
  <pageMargins left="0.7" right="0.7" top="0.75" bottom="0.75" header="0.3" footer="0.3"/>
  <pageSetup orientation="portrait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8"/>
  <sheetViews>
    <sheetView showGridLines="0" topLeftCell="A40" zoomScale="80" zoomScaleNormal="80" zoomScaleSheetLayoutView="90" workbookViewId="0">
      <selection activeCell="G3" sqref="G3"/>
    </sheetView>
  </sheetViews>
  <sheetFormatPr defaultColWidth="8.88671875" defaultRowHeight="14.4"/>
  <cols>
    <col min="1" max="1" width="8.88671875" style="140"/>
    <col min="2" max="2" width="14.33203125" style="141" customWidth="1"/>
    <col min="3" max="4" width="8.88671875" style="141"/>
    <col min="5" max="5" width="15.6640625" style="141" customWidth="1"/>
    <col min="6" max="7" width="8.88671875" style="141"/>
    <col min="8" max="16384" width="8.88671875" style="135"/>
  </cols>
  <sheetData>
    <row r="1" spans="1:7">
      <c r="A1" s="140" t="s">
        <v>377</v>
      </c>
      <c r="B1" s="141" t="s">
        <v>378</v>
      </c>
      <c r="C1" s="141" t="s">
        <v>22</v>
      </c>
      <c r="D1" s="141" t="s">
        <v>379</v>
      </c>
      <c r="E1" s="141" t="s">
        <v>380</v>
      </c>
      <c r="F1" s="141" t="s">
        <v>381</v>
      </c>
      <c r="G1" s="141" t="s">
        <v>382</v>
      </c>
    </row>
    <row r="2" spans="1:7">
      <c r="A2" s="140">
        <v>511</v>
      </c>
      <c r="B2" s="141" t="s">
        <v>383</v>
      </c>
      <c r="C2" s="141">
        <v>13.5</v>
      </c>
      <c r="D2" s="141">
        <v>9</v>
      </c>
      <c r="E2" s="141">
        <v>11.5</v>
      </c>
      <c r="F2" s="141" t="s">
        <v>384</v>
      </c>
      <c r="G2" s="141" t="s">
        <v>385</v>
      </c>
    </row>
    <row r="3" spans="1:7">
      <c r="A3" s="140">
        <v>512</v>
      </c>
      <c r="B3" s="141" t="s">
        <v>386</v>
      </c>
      <c r="C3" s="141">
        <v>13.5</v>
      </c>
      <c r="D3" s="141">
        <v>9</v>
      </c>
      <c r="E3" s="141">
        <v>11.5</v>
      </c>
      <c r="F3" s="141" t="s">
        <v>384</v>
      </c>
      <c r="G3" s="141" t="s">
        <v>385</v>
      </c>
    </row>
    <row r="4" spans="1:7">
      <c r="A4" s="140">
        <v>513</v>
      </c>
      <c r="B4" s="141" t="s">
        <v>387</v>
      </c>
      <c r="C4" s="141">
        <v>13.5</v>
      </c>
      <c r="D4" s="141">
        <v>9</v>
      </c>
      <c r="E4" s="141">
        <v>11.5</v>
      </c>
      <c r="F4" s="141" t="s">
        <v>384</v>
      </c>
      <c r="G4" s="141" t="s">
        <v>385</v>
      </c>
    </row>
    <row r="5" spans="1:7">
      <c r="A5" s="140">
        <v>514</v>
      </c>
      <c r="B5" s="141" t="s">
        <v>388</v>
      </c>
      <c r="C5" s="141">
        <v>13.5</v>
      </c>
      <c r="D5" s="141">
        <v>9</v>
      </c>
      <c r="E5" s="141">
        <v>11.5</v>
      </c>
      <c r="F5" s="141" t="s">
        <v>384</v>
      </c>
      <c r="G5" s="141" t="s">
        <v>385</v>
      </c>
    </row>
    <row r="6" spans="1:7">
      <c r="A6" s="140">
        <v>515</v>
      </c>
      <c r="B6" s="141" t="s">
        <v>389</v>
      </c>
      <c r="C6" s="141">
        <v>13.5</v>
      </c>
      <c r="D6" s="141">
        <v>9</v>
      </c>
      <c r="E6" s="141">
        <v>11.5</v>
      </c>
      <c r="F6" s="141" t="s">
        <v>384</v>
      </c>
      <c r="G6" s="141" t="s">
        <v>385</v>
      </c>
    </row>
    <row r="7" spans="1:7">
      <c r="A7" s="140">
        <v>516</v>
      </c>
      <c r="B7" s="141" t="s">
        <v>390</v>
      </c>
      <c r="C7" s="141">
        <v>13.5</v>
      </c>
      <c r="D7" s="141">
        <v>9</v>
      </c>
      <c r="E7" s="141">
        <v>11.5</v>
      </c>
      <c r="F7" s="141" t="s">
        <v>384</v>
      </c>
      <c r="G7" s="141" t="s">
        <v>385</v>
      </c>
    </row>
    <row r="8" spans="1:7">
      <c r="A8" s="140">
        <v>517</v>
      </c>
      <c r="B8" s="141" t="s">
        <v>391</v>
      </c>
      <c r="C8" s="141">
        <v>13.5</v>
      </c>
      <c r="D8" s="141">
        <v>9</v>
      </c>
      <c r="E8" s="141">
        <v>11.5</v>
      </c>
      <c r="F8" s="141" t="s">
        <v>384</v>
      </c>
      <c r="G8" s="141" t="s">
        <v>385</v>
      </c>
    </row>
    <row r="9" spans="1:7">
      <c r="A9" s="140">
        <v>518</v>
      </c>
      <c r="B9" s="141" t="s">
        <v>392</v>
      </c>
      <c r="C9" s="141">
        <v>13.5</v>
      </c>
      <c r="D9" s="141">
        <v>9</v>
      </c>
      <c r="E9" s="141">
        <v>11.5</v>
      </c>
      <c r="F9" s="141" t="s">
        <v>384</v>
      </c>
      <c r="G9" s="141" t="s">
        <v>385</v>
      </c>
    </row>
    <row r="10" spans="1:7">
      <c r="A10" s="140">
        <v>519</v>
      </c>
      <c r="B10" s="141" t="s">
        <v>393</v>
      </c>
      <c r="C10" s="141">
        <v>13.5</v>
      </c>
      <c r="D10" s="141">
        <v>9</v>
      </c>
      <c r="E10" s="141">
        <v>11.5</v>
      </c>
      <c r="F10" s="141" t="s">
        <v>384</v>
      </c>
      <c r="G10" s="141" t="s">
        <v>385</v>
      </c>
    </row>
    <row r="11" spans="1:7">
      <c r="A11" s="140">
        <v>520</v>
      </c>
      <c r="B11" s="141" t="s">
        <v>394</v>
      </c>
      <c r="C11" s="141">
        <v>13.5</v>
      </c>
      <c r="D11" s="141">
        <v>9</v>
      </c>
      <c r="E11" s="141">
        <v>11.5</v>
      </c>
      <c r="F11" s="141" t="s">
        <v>384</v>
      </c>
      <c r="G11" s="141" t="s">
        <v>385</v>
      </c>
    </row>
    <row r="12" spans="1:7">
      <c r="A12" s="140">
        <v>524</v>
      </c>
      <c r="B12" s="141" t="s">
        <v>395</v>
      </c>
      <c r="C12" s="141">
        <v>13.5</v>
      </c>
      <c r="D12" s="141">
        <v>9</v>
      </c>
      <c r="E12" s="141">
        <v>11.5</v>
      </c>
      <c r="F12" s="141" t="s">
        <v>384</v>
      </c>
      <c r="G12" s="141" t="s">
        <v>385</v>
      </c>
    </row>
    <row r="13" spans="1:7">
      <c r="A13" s="140">
        <v>525</v>
      </c>
      <c r="B13" s="141" t="s">
        <v>396</v>
      </c>
      <c r="C13" s="141">
        <v>13.5</v>
      </c>
      <c r="D13" s="141">
        <v>9</v>
      </c>
      <c r="E13" s="141">
        <v>11.5</v>
      </c>
      <c r="F13" s="141" t="s">
        <v>384</v>
      </c>
      <c r="G13" s="141" t="s">
        <v>385</v>
      </c>
    </row>
    <row r="14" spans="1:7">
      <c r="A14" s="140">
        <v>526</v>
      </c>
      <c r="B14" s="141" t="s">
        <v>397</v>
      </c>
      <c r="C14" s="141">
        <v>13.5</v>
      </c>
      <c r="D14" s="141">
        <v>9</v>
      </c>
      <c r="E14" s="141">
        <v>11.5</v>
      </c>
      <c r="F14" s="141" t="s">
        <v>384</v>
      </c>
      <c r="G14" s="141" t="s">
        <v>385</v>
      </c>
    </row>
    <row r="15" spans="1:7">
      <c r="A15" s="140">
        <v>530</v>
      </c>
      <c r="B15" s="141" t="s">
        <v>398</v>
      </c>
      <c r="C15" s="141">
        <v>13.5</v>
      </c>
      <c r="D15" s="141">
        <v>9</v>
      </c>
      <c r="E15" s="141">
        <v>11.5</v>
      </c>
      <c r="F15" s="141" t="s">
        <v>384</v>
      </c>
      <c r="G15" s="141" t="s">
        <v>385</v>
      </c>
    </row>
    <row r="16" spans="1:7">
      <c r="A16" s="140">
        <v>531</v>
      </c>
      <c r="B16" s="141" t="s">
        <v>399</v>
      </c>
      <c r="C16" s="141">
        <v>13.5</v>
      </c>
      <c r="D16" s="141">
        <v>9</v>
      </c>
      <c r="E16" s="141">
        <v>11.5</v>
      </c>
      <c r="F16" s="141" t="s">
        <v>384</v>
      </c>
      <c r="G16" s="141" t="s">
        <v>385</v>
      </c>
    </row>
    <row r="17" spans="1:7">
      <c r="A17" s="140">
        <v>532</v>
      </c>
      <c r="B17" s="141" t="s">
        <v>400</v>
      </c>
      <c r="C17" s="141">
        <v>13.5</v>
      </c>
      <c r="D17" s="141">
        <v>9</v>
      </c>
      <c r="E17" s="141">
        <v>11.5</v>
      </c>
      <c r="F17" s="141" t="s">
        <v>384</v>
      </c>
      <c r="G17" s="141" t="s">
        <v>385</v>
      </c>
    </row>
    <row r="18" spans="1:7">
      <c r="A18" s="140">
        <v>536</v>
      </c>
      <c r="B18" s="141" t="s">
        <v>401</v>
      </c>
      <c r="C18" s="141">
        <v>13.5</v>
      </c>
      <c r="D18" s="141">
        <v>9</v>
      </c>
      <c r="E18" s="141">
        <v>11.5</v>
      </c>
      <c r="F18" s="141" t="s">
        <v>384</v>
      </c>
      <c r="G18" s="141" t="s">
        <v>385</v>
      </c>
    </row>
    <row r="19" spans="1:7">
      <c r="A19" s="140">
        <v>537</v>
      </c>
      <c r="B19" s="141" t="s">
        <v>402</v>
      </c>
      <c r="C19" s="141">
        <v>13.5</v>
      </c>
      <c r="D19" s="141">
        <v>9</v>
      </c>
      <c r="E19" s="141">
        <v>11.5</v>
      </c>
      <c r="F19" s="141" t="s">
        <v>384</v>
      </c>
      <c r="G19" s="141" t="s">
        <v>385</v>
      </c>
    </row>
    <row r="20" spans="1:7">
      <c r="A20" s="140">
        <v>538</v>
      </c>
      <c r="B20" s="141" t="s">
        <v>403</v>
      </c>
      <c r="C20" s="141">
        <v>13.5</v>
      </c>
      <c r="D20" s="141">
        <v>9</v>
      </c>
      <c r="E20" s="141">
        <v>11.5</v>
      </c>
      <c r="F20" s="141" t="s">
        <v>384</v>
      </c>
      <c r="G20" s="141" t="s">
        <v>385</v>
      </c>
    </row>
    <row r="21" spans="1:7">
      <c r="A21" s="140">
        <v>557</v>
      </c>
      <c r="B21" s="141" t="s">
        <v>404</v>
      </c>
      <c r="C21" s="141">
        <v>13.5</v>
      </c>
      <c r="D21" s="141">
        <v>9</v>
      </c>
      <c r="E21" s="141">
        <v>11.5</v>
      </c>
      <c r="F21" s="141" t="s">
        <v>384</v>
      </c>
      <c r="G21" s="141" t="s">
        <v>385</v>
      </c>
    </row>
    <row r="22" spans="1:7">
      <c r="A22" s="140">
        <v>558</v>
      </c>
      <c r="B22" s="141" t="s">
        <v>405</v>
      </c>
      <c r="C22" s="141">
        <v>13.5</v>
      </c>
      <c r="D22" s="141">
        <v>9</v>
      </c>
      <c r="E22" s="141">
        <v>11.5</v>
      </c>
      <c r="F22" s="141" t="s">
        <v>384</v>
      </c>
      <c r="G22" s="141" t="s">
        <v>385</v>
      </c>
    </row>
    <row r="23" spans="1:7">
      <c r="A23" s="140">
        <v>559</v>
      </c>
      <c r="B23" s="141" t="s">
        <v>406</v>
      </c>
      <c r="C23" s="141">
        <v>13.5</v>
      </c>
      <c r="D23" s="141">
        <v>9</v>
      </c>
      <c r="E23" s="141">
        <v>11.5</v>
      </c>
      <c r="F23" s="141" t="s">
        <v>384</v>
      </c>
      <c r="G23" s="141" t="s">
        <v>385</v>
      </c>
    </row>
    <row r="24" spans="1:7">
      <c r="A24" s="140">
        <v>560</v>
      </c>
      <c r="B24" s="141" t="s">
        <v>407</v>
      </c>
      <c r="C24" s="141">
        <v>13.5</v>
      </c>
      <c r="D24" s="141">
        <v>9</v>
      </c>
      <c r="E24" s="141">
        <v>11.5</v>
      </c>
      <c r="F24" s="141" t="s">
        <v>384</v>
      </c>
      <c r="G24" s="141" t="s">
        <v>385</v>
      </c>
    </row>
    <row r="25" spans="1:7">
      <c r="A25" s="140">
        <v>561</v>
      </c>
      <c r="B25" s="141" t="s">
        <v>408</v>
      </c>
      <c r="C25" s="141">
        <v>13.5</v>
      </c>
      <c r="D25" s="141">
        <v>9</v>
      </c>
      <c r="E25" s="141">
        <v>11.5</v>
      </c>
      <c r="F25" s="141" t="s">
        <v>384</v>
      </c>
      <c r="G25" s="141" t="s">
        <v>385</v>
      </c>
    </row>
    <row r="26" spans="1:7">
      <c r="A26" s="140">
        <v>562</v>
      </c>
      <c r="B26" s="141" t="s">
        <v>409</v>
      </c>
      <c r="C26" s="141">
        <v>13.5</v>
      </c>
      <c r="D26" s="141">
        <v>9</v>
      </c>
      <c r="E26" s="141">
        <v>11.5</v>
      </c>
      <c r="F26" s="141" t="s">
        <v>384</v>
      </c>
      <c r="G26" s="141" t="s">
        <v>385</v>
      </c>
    </row>
    <row r="27" spans="1:7">
      <c r="A27" s="140">
        <v>563</v>
      </c>
      <c r="B27" s="141" t="s">
        <v>410</v>
      </c>
      <c r="C27" s="141">
        <v>13.5</v>
      </c>
      <c r="D27" s="141">
        <v>9</v>
      </c>
      <c r="E27" s="141">
        <v>11.5</v>
      </c>
      <c r="F27" s="141" t="s">
        <v>384</v>
      </c>
      <c r="G27" s="141" t="s">
        <v>385</v>
      </c>
    </row>
    <row r="28" spans="1:7">
      <c r="A28" s="140">
        <v>564</v>
      </c>
      <c r="B28" s="141" t="s">
        <v>411</v>
      </c>
      <c r="C28" s="141">
        <v>13.5</v>
      </c>
      <c r="D28" s="141">
        <v>9</v>
      </c>
      <c r="E28" s="141">
        <v>11.5</v>
      </c>
      <c r="F28" s="141" t="s">
        <v>384</v>
      </c>
      <c r="G28" s="141" t="s">
        <v>385</v>
      </c>
    </row>
    <row r="29" spans="1:7">
      <c r="A29" s="140">
        <v>565</v>
      </c>
      <c r="B29" s="141" t="s">
        <v>412</v>
      </c>
      <c r="C29" s="141">
        <v>13.5</v>
      </c>
      <c r="D29" s="141">
        <v>9</v>
      </c>
      <c r="E29" s="141">
        <v>11.5</v>
      </c>
      <c r="F29" s="141" t="s">
        <v>384</v>
      </c>
      <c r="G29" s="141" t="s">
        <v>385</v>
      </c>
    </row>
    <row r="30" spans="1:7">
      <c r="A30" s="140">
        <v>566</v>
      </c>
      <c r="B30" s="141" t="s">
        <v>413</v>
      </c>
      <c r="C30" s="141">
        <v>13.5</v>
      </c>
      <c r="D30" s="141">
        <v>9</v>
      </c>
      <c r="E30" s="141">
        <v>11.5</v>
      </c>
      <c r="F30" s="141" t="s">
        <v>384</v>
      </c>
      <c r="G30" s="141" t="s">
        <v>385</v>
      </c>
    </row>
    <row r="31" spans="1:7">
      <c r="A31" s="140">
        <v>567</v>
      </c>
      <c r="B31" s="141" t="s">
        <v>414</v>
      </c>
      <c r="C31" s="141">
        <v>13.5</v>
      </c>
      <c r="D31" s="141">
        <v>9</v>
      </c>
      <c r="E31" s="141">
        <v>11.5</v>
      </c>
      <c r="F31" s="141" t="s">
        <v>384</v>
      </c>
      <c r="G31" s="141" t="s">
        <v>385</v>
      </c>
    </row>
    <row r="32" spans="1:7">
      <c r="A32" s="140">
        <v>568</v>
      </c>
      <c r="B32" s="141" t="s">
        <v>415</v>
      </c>
      <c r="C32" s="141">
        <v>13.5</v>
      </c>
      <c r="D32" s="141">
        <v>9</v>
      </c>
      <c r="E32" s="141">
        <v>11.5</v>
      </c>
      <c r="F32" s="141" t="s">
        <v>384</v>
      </c>
      <c r="G32" s="141" t="s">
        <v>385</v>
      </c>
    </row>
    <row r="33" spans="1:7">
      <c r="A33" s="140">
        <v>569</v>
      </c>
      <c r="B33" s="141" t="s">
        <v>416</v>
      </c>
      <c r="C33" s="141">
        <v>13.5</v>
      </c>
      <c r="D33" s="141">
        <v>9</v>
      </c>
      <c r="E33" s="141">
        <v>11.5</v>
      </c>
      <c r="F33" s="141" t="s">
        <v>384</v>
      </c>
      <c r="G33" s="141" t="s">
        <v>385</v>
      </c>
    </row>
    <row r="34" spans="1:7">
      <c r="A34" s="140">
        <v>570</v>
      </c>
      <c r="B34" s="141" t="s">
        <v>417</v>
      </c>
      <c r="C34" s="141">
        <v>13.5</v>
      </c>
      <c r="D34" s="141">
        <v>9</v>
      </c>
      <c r="E34" s="141">
        <v>11.5</v>
      </c>
      <c r="F34" s="141" t="s">
        <v>384</v>
      </c>
      <c r="G34" s="141" t="s">
        <v>385</v>
      </c>
    </row>
    <row r="35" spans="1:7">
      <c r="A35" s="140">
        <v>571</v>
      </c>
      <c r="B35" s="141" t="s">
        <v>418</v>
      </c>
      <c r="C35" s="141">
        <v>13.5</v>
      </c>
      <c r="D35" s="141">
        <v>9</v>
      </c>
      <c r="E35" s="141">
        <v>11.5</v>
      </c>
      <c r="F35" s="141" t="s">
        <v>384</v>
      </c>
      <c r="G35" s="141" t="s">
        <v>385</v>
      </c>
    </row>
    <row r="36" spans="1:7">
      <c r="A36" s="140">
        <v>572</v>
      </c>
      <c r="B36" s="141" t="s">
        <v>419</v>
      </c>
      <c r="C36" s="141">
        <v>13.5</v>
      </c>
      <c r="D36" s="141">
        <v>9</v>
      </c>
      <c r="E36" s="141">
        <v>11.5</v>
      </c>
      <c r="F36" s="141" t="s">
        <v>384</v>
      </c>
      <c r="G36" s="141" t="s">
        <v>385</v>
      </c>
    </row>
    <row r="37" spans="1:7">
      <c r="A37" s="140">
        <v>573</v>
      </c>
      <c r="B37" s="141" t="s">
        <v>420</v>
      </c>
      <c r="C37" s="141">
        <v>13.5</v>
      </c>
      <c r="D37" s="141">
        <v>9</v>
      </c>
      <c r="E37" s="141">
        <v>11.5</v>
      </c>
      <c r="F37" s="141" t="s">
        <v>384</v>
      </c>
      <c r="G37" s="141" t="s">
        <v>385</v>
      </c>
    </row>
    <row r="38" spans="1:7">
      <c r="A38" s="140">
        <v>574</v>
      </c>
      <c r="B38" s="141" t="s">
        <v>421</v>
      </c>
      <c r="C38" s="141">
        <v>13.5</v>
      </c>
      <c r="D38" s="141">
        <v>9</v>
      </c>
      <c r="E38" s="141">
        <v>11.5</v>
      </c>
      <c r="F38" s="141" t="s">
        <v>384</v>
      </c>
      <c r="G38" s="141" t="s">
        <v>385</v>
      </c>
    </row>
    <row r="39" spans="1:7">
      <c r="A39" s="140">
        <v>575</v>
      </c>
      <c r="B39" s="141" t="s">
        <v>422</v>
      </c>
      <c r="C39" s="141">
        <v>13.5</v>
      </c>
      <c r="D39" s="141">
        <v>9</v>
      </c>
      <c r="E39" s="141">
        <v>11.5</v>
      </c>
      <c r="F39" s="141" t="s">
        <v>384</v>
      </c>
      <c r="G39" s="141" t="s">
        <v>385</v>
      </c>
    </row>
    <row r="40" spans="1:7">
      <c r="A40" s="140">
        <v>576</v>
      </c>
      <c r="B40" s="141" t="s">
        <v>423</v>
      </c>
      <c r="C40" s="141">
        <v>13.5</v>
      </c>
      <c r="D40" s="141">
        <v>9</v>
      </c>
      <c r="E40" s="141">
        <v>11.5</v>
      </c>
      <c r="F40" s="141" t="s">
        <v>384</v>
      </c>
      <c r="G40" s="141" t="s">
        <v>385</v>
      </c>
    </row>
    <row r="41" spans="1:7">
      <c r="A41" s="140">
        <v>577</v>
      </c>
      <c r="B41" s="141" t="s">
        <v>424</v>
      </c>
      <c r="C41" s="141">
        <v>13.5</v>
      </c>
      <c r="D41" s="141">
        <v>9</v>
      </c>
      <c r="E41" s="141">
        <v>11.5</v>
      </c>
      <c r="F41" s="141" t="s">
        <v>384</v>
      </c>
      <c r="G41" s="141" t="s">
        <v>385</v>
      </c>
    </row>
    <row r="42" spans="1:7">
      <c r="A42" s="140">
        <v>578</v>
      </c>
      <c r="B42" s="141" t="s">
        <v>425</v>
      </c>
      <c r="C42" s="141">
        <v>13.5</v>
      </c>
      <c r="D42" s="141">
        <v>9</v>
      </c>
      <c r="E42" s="141">
        <v>11.5</v>
      </c>
      <c r="F42" s="141" t="s">
        <v>384</v>
      </c>
      <c r="G42" s="141" t="s">
        <v>385</v>
      </c>
    </row>
    <row r="43" spans="1:7">
      <c r="A43" s="140">
        <v>579</v>
      </c>
      <c r="B43" s="141" t="s">
        <v>426</v>
      </c>
      <c r="C43" s="141">
        <v>13.5</v>
      </c>
      <c r="D43" s="141">
        <v>9</v>
      </c>
      <c r="E43" s="141">
        <v>11.5</v>
      </c>
      <c r="F43" s="141" t="s">
        <v>384</v>
      </c>
      <c r="G43" s="141" t="s">
        <v>385</v>
      </c>
    </row>
    <row r="44" spans="1:7">
      <c r="A44" s="140">
        <v>580</v>
      </c>
      <c r="B44" s="141" t="s">
        <v>427</v>
      </c>
      <c r="C44" s="141">
        <v>13.5</v>
      </c>
      <c r="D44" s="141">
        <v>9</v>
      </c>
      <c r="E44" s="141">
        <v>11.5</v>
      </c>
      <c r="F44" s="141" t="s">
        <v>384</v>
      </c>
      <c r="G44" s="141" t="s">
        <v>385</v>
      </c>
    </row>
    <row r="45" spans="1:7">
      <c r="A45" s="140">
        <v>581</v>
      </c>
      <c r="B45" s="141" t="s">
        <v>428</v>
      </c>
      <c r="C45" s="141">
        <v>13.5</v>
      </c>
      <c r="D45" s="141">
        <v>9</v>
      </c>
      <c r="E45" s="141">
        <v>11.5</v>
      </c>
      <c r="F45" s="141" t="s">
        <v>384</v>
      </c>
      <c r="G45" s="141" t="s">
        <v>385</v>
      </c>
    </row>
    <row r="46" spans="1:7">
      <c r="A46" s="140">
        <v>582</v>
      </c>
      <c r="B46" s="141" t="s">
        <v>429</v>
      </c>
      <c r="C46" s="141">
        <v>13.5</v>
      </c>
      <c r="D46" s="141">
        <v>9</v>
      </c>
      <c r="E46" s="141">
        <v>11.5</v>
      </c>
      <c r="F46" s="141" t="s">
        <v>384</v>
      </c>
      <c r="G46" s="141" t="s">
        <v>385</v>
      </c>
    </row>
    <row r="47" spans="1:7">
      <c r="A47" s="140">
        <v>588</v>
      </c>
      <c r="B47" s="141" t="s">
        <v>430</v>
      </c>
      <c r="C47" s="141">
        <v>13.5</v>
      </c>
      <c r="D47" s="141">
        <v>9</v>
      </c>
      <c r="E47" s="141">
        <v>11.5</v>
      </c>
      <c r="F47" s="141" t="s">
        <v>384</v>
      </c>
      <c r="G47" s="141" t="s">
        <v>431</v>
      </c>
    </row>
    <row r="48" spans="1:7">
      <c r="A48" s="140">
        <v>589</v>
      </c>
      <c r="B48" s="141" t="s">
        <v>432</v>
      </c>
      <c r="C48" s="141">
        <v>13.5</v>
      </c>
      <c r="D48" s="141">
        <v>9</v>
      </c>
      <c r="E48" s="141">
        <v>11.5</v>
      </c>
      <c r="F48" s="141" t="s">
        <v>384</v>
      </c>
      <c r="G48" s="141" t="s">
        <v>431</v>
      </c>
    </row>
    <row r="49" spans="1:7">
      <c r="A49" s="140">
        <v>590</v>
      </c>
      <c r="B49" s="141" t="s">
        <v>433</v>
      </c>
      <c r="C49" s="141">
        <v>13.5</v>
      </c>
      <c r="D49" s="141">
        <v>9</v>
      </c>
      <c r="E49" s="141">
        <v>11.5</v>
      </c>
      <c r="F49" s="141" t="s">
        <v>384</v>
      </c>
      <c r="G49" s="141" t="s">
        <v>431</v>
      </c>
    </row>
    <row r="50" spans="1:7">
      <c r="A50" s="140">
        <v>591</v>
      </c>
      <c r="B50" s="141" t="s">
        <v>434</v>
      </c>
      <c r="C50" s="141">
        <v>13.5</v>
      </c>
      <c r="D50" s="141">
        <v>9</v>
      </c>
      <c r="E50" s="141">
        <v>11.5</v>
      </c>
      <c r="F50" s="141" t="s">
        <v>384</v>
      </c>
      <c r="G50" s="141" t="s">
        <v>431</v>
      </c>
    </row>
    <row r="51" spans="1:7">
      <c r="A51" s="140">
        <v>592</v>
      </c>
      <c r="B51" s="141" t="s">
        <v>435</v>
      </c>
      <c r="C51" s="141">
        <v>13.5</v>
      </c>
      <c r="D51" s="141">
        <v>9</v>
      </c>
      <c r="E51" s="141">
        <v>11.5</v>
      </c>
      <c r="F51" s="141" t="s">
        <v>384</v>
      </c>
      <c r="G51" s="141" t="s">
        <v>431</v>
      </c>
    </row>
    <row r="52" spans="1:7">
      <c r="A52" s="140">
        <v>593</v>
      </c>
      <c r="B52" s="141" t="s">
        <v>436</v>
      </c>
      <c r="C52" s="141">
        <v>13.5</v>
      </c>
      <c r="D52" s="141">
        <v>9</v>
      </c>
      <c r="E52" s="141">
        <v>11.5</v>
      </c>
      <c r="F52" s="141" t="s">
        <v>437</v>
      </c>
      <c r="G52" s="141" t="s">
        <v>438</v>
      </c>
    </row>
    <row r="53" spans="1:7">
      <c r="A53" s="140">
        <v>594</v>
      </c>
      <c r="B53" s="141" t="s">
        <v>439</v>
      </c>
      <c r="C53" s="141">
        <v>13.5</v>
      </c>
      <c r="D53" s="141">
        <v>9</v>
      </c>
      <c r="E53" s="141">
        <v>11.5</v>
      </c>
      <c r="F53" s="141" t="s">
        <v>437</v>
      </c>
      <c r="G53" s="141" t="s">
        <v>438</v>
      </c>
    </row>
    <row r="54" spans="1:7">
      <c r="A54" s="140">
        <v>595</v>
      </c>
      <c r="B54" s="141" t="s">
        <v>440</v>
      </c>
      <c r="C54" s="141">
        <v>13.5</v>
      </c>
      <c r="D54" s="141">
        <v>9</v>
      </c>
      <c r="E54" s="141">
        <v>11.5</v>
      </c>
      <c r="F54" s="141" t="s">
        <v>437</v>
      </c>
      <c r="G54" s="141" t="s">
        <v>438</v>
      </c>
    </row>
    <row r="55" spans="1:7">
      <c r="A55" s="140">
        <v>596</v>
      </c>
      <c r="B55" s="141" t="s">
        <v>441</v>
      </c>
      <c r="C55" s="141">
        <v>13.5</v>
      </c>
      <c r="D55" s="141">
        <v>9</v>
      </c>
      <c r="E55" s="141">
        <v>11.5</v>
      </c>
      <c r="F55" s="141" t="s">
        <v>437</v>
      </c>
      <c r="G55" s="141" t="s">
        <v>438</v>
      </c>
    </row>
    <row r="56" spans="1:7">
      <c r="A56" s="140">
        <v>597</v>
      </c>
      <c r="B56" s="141" t="s">
        <v>442</v>
      </c>
      <c r="C56" s="141">
        <v>13.5</v>
      </c>
      <c r="D56" s="141">
        <v>9</v>
      </c>
      <c r="E56" s="141">
        <v>11.5</v>
      </c>
      <c r="F56" s="141" t="s">
        <v>437</v>
      </c>
      <c r="G56" s="141" t="s">
        <v>438</v>
      </c>
    </row>
    <row r="57" spans="1:7">
      <c r="A57" s="140">
        <v>598</v>
      </c>
      <c r="B57" s="141" t="s">
        <v>443</v>
      </c>
      <c r="C57" s="141">
        <v>13.5</v>
      </c>
      <c r="D57" s="141">
        <v>9</v>
      </c>
      <c r="E57" s="141">
        <v>11.5</v>
      </c>
      <c r="F57" s="141" t="s">
        <v>437</v>
      </c>
      <c r="G57" s="141" t="s">
        <v>438</v>
      </c>
    </row>
    <row r="58" spans="1:7">
      <c r="A58" s="140">
        <v>599</v>
      </c>
      <c r="B58" s="141" t="s">
        <v>444</v>
      </c>
      <c r="C58" s="141">
        <v>13.5</v>
      </c>
      <c r="D58" s="141">
        <v>9</v>
      </c>
      <c r="E58" s="141">
        <v>11.5</v>
      </c>
      <c r="F58" s="141" t="s">
        <v>437</v>
      </c>
      <c r="G58" s="141" t="s">
        <v>438</v>
      </c>
    </row>
    <row r="59" spans="1:7">
      <c r="A59" s="140">
        <v>600</v>
      </c>
      <c r="B59" s="141" t="s">
        <v>445</v>
      </c>
      <c r="C59" s="141">
        <v>13.5</v>
      </c>
      <c r="D59" s="141">
        <v>9</v>
      </c>
      <c r="E59" s="141">
        <v>11.5</v>
      </c>
      <c r="F59" s="141" t="s">
        <v>437</v>
      </c>
      <c r="G59" s="141" t="s">
        <v>438</v>
      </c>
    </row>
    <row r="60" spans="1:7">
      <c r="A60" s="140">
        <v>601</v>
      </c>
      <c r="B60" s="141" t="s">
        <v>446</v>
      </c>
      <c r="C60" s="141">
        <v>13.5</v>
      </c>
      <c r="D60" s="141">
        <v>9</v>
      </c>
      <c r="E60" s="141">
        <v>11.5</v>
      </c>
      <c r="F60" s="141" t="s">
        <v>437</v>
      </c>
      <c r="G60" s="141" t="s">
        <v>438</v>
      </c>
    </row>
    <row r="61" spans="1:7">
      <c r="A61" s="140">
        <v>602</v>
      </c>
      <c r="B61" s="141" t="s">
        <v>447</v>
      </c>
      <c r="C61" s="141">
        <v>13.5</v>
      </c>
      <c r="D61" s="141">
        <v>9</v>
      </c>
      <c r="E61" s="141">
        <v>11.5</v>
      </c>
      <c r="F61" s="141" t="s">
        <v>437</v>
      </c>
      <c r="G61" s="141" t="s">
        <v>438</v>
      </c>
    </row>
    <row r="62" spans="1:7">
      <c r="A62" s="140">
        <v>603</v>
      </c>
      <c r="B62" s="141" t="s">
        <v>448</v>
      </c>
      <c r="C62" s="141">
        <v>13.5</v>
      </c>
      <c r="D62" s="141">
        <v>9</v>
      </c>
      <c r="E62" s="141">
        <v>11.5</v>
      </c>
      <c r="F62" s="141" t="s">
        <v>437</v>
      </c>
      <c r="G62" s="141" t="s">
        <v>438</v>
      </c>
    </row>
    <row r="63" spans="1:7">
      <c r="A63" s="140">
        <v>604</v>
      </c>
      <c r="B63" s="141" t="s">
        <v>449</v>
      </c>
      <c r="C63" s="141">
        <v>13.5</v>
      </c>
      <c r="D63" s="141">
        <v>9</v>
      </c>
      <c r="E63" s="141">
        <v>11.5</v>
      </c>
      <c r="F63" s="141" t="s">
        <v>437</v>
      </c>
      <c r="G63" s="141" t="s">
        <v>438</v>
      </c>
    </row>
    <row r="64" spans="1:7">
      <c r="A64" s="140">
        <v>605</v>
      </c>
      <c r="B64" s="141" t="s">
        <v>450</v>
      </c>
      <c r="C64" s="141">
        <v>13.5</v>
      </c>
      <c r="D64" s="141">
        <v>9</v>
      </c>
      <c r="E64" s="141">
        <v>11.5</v>
      </c>
      <c r="F64" s="141" t="s">
        <v>437</v>
      </c>
      <c r="G64" s="141" t="s">
        <v>438</v>
      </c>
    </row>
    <row r="65" spans="1:7">
      <c r="A65" s="140">
        <v>606</v>
      </c>
      <c r="B65" s="141" t="s">
        <v>451</v>
      </c>
      <c r="C65" s="141">
        <v>13.5</v>
      </c>
      <c r="D65" s="141">
        <v>9</v>
      </c>
      <c r="E65" s="141">
        <v>11.5</v>
      </c>
      <c r="F65" s="141" t="s">
        <v>437</v>
      </c>
      <c r="G65" s="141" t="s">
        <v>438</v>
      </c>
    </row>
    <row r="66" spans="1:7">
      <c r="A66" s="140">
        <v>607</v>
      </c>
      <c r="B66" s="141" t="s">
        <v>452</v>
      </c>
      <c r="C66" s="141">
        <v>13.5</v>
      </c>
      <c r="D66" s="141">
        <v>9</v>
      </c>
      <c r="E66" s="141">
        <v>11.5</v>
      </c>
      <c r="F66" s="141" t="s">
        <v>437</v>
      </c>
      <c r="G66" s="141" t="s">
        <v>438</v>
      </c>
    </row>
    <row r="67" spans="1:7">
      <c r="A67" s="140">
        <v>608</v>
      </c>
      <c r="B67" s="141" t="s">
        <v>453</v>
      </c>
      <c r="C67" s="141">
        <v>13.5</v>
      </c>
      <c r="D67" s="141">
        <v>9</v>
      </c>
      <c r="E67" s="141">
        <v>11.5</v>
      </c>
      <c r="F67" s="141" t="s">
        <v>384</v>
      </c>
      <c r="G67" s="141" t="s">
        <v>385</v>
      </c>
    </row>
    <row r="68" spans="1:7">
      <c r="A68" s="140">
        <v>609</v>
      </c>
      <c r="B68" s="141" t="s">
        <v>454</v>
      </c>
      <c r="C68" s="141">
        <v>13.5</v>
      </c>
      <c r="D68" s="141">
        <v>9</v>
      </c>
      <c r="E68" s="141">
        <v>11.5</v>
      </c>
      <c r="F68" s="141" t="s">
        <v>384</v>
      </c>
      <c r="G68" s="141" t="s">
        <v>385</v>
      </c>
    </row>
    <row r="69" spans="1:7">
      <c r="A69" s="140">
        <v>610</v>
      </c>
      <c r="B69" s="141" t="s">
        <v>455</v>
      </c>
      <c r="C69" s="141">
        <v>13.5</v>
      </c>
      <c r="D69" s="141">
        <v>9</v>
      </c>
      <c r="E69" s="141">
        <v>11.5</v>
      </c>
      <c r="F69" s="141" t="s">
        <v>384</v>
      </c>
      <c r="G69" s="141" t="s">
        <v>385</v>
      </c>
    </row>
    <row r="70" spans="1:7">
      <c r="A70" s="140">
        <v>611</v>
      </c>
      <c r="B70" s="141" t="s">
        <v>456</v>
      </c>
      <c r="C70" s="141">
        <v>13.5</v>
      </c>
      <c r="D70" s="141">
        <v>9</v>
      </c>
      <c r="E70" s="141">
        <v>11.5</v>
      </c>
      <c r="F70" s="141" t="s">
        <v>384</v>
      </c>
      <c r="G70" s="141" t="s">
        <v>385</v>
      </c>
    </row>
    <row r="71" spans="1:7">
      <c r="A71" s="140">
        <v>612</v>
      </c>
      <c r="B71" s="141" t="s">
        <v>457</v>
      </c>
      <c r="C71" s="141">
        <v>13.5</v>
      </c>
      <c r="D71" s="141">
        <v>9</v>
      </c>
      <c r="E71" s="141">
        <v>11.5</v>
      </c>
      <c r="F71" s="141" t="s">
        <v>384</v>
      </c>
      <c r="G71" s="141" t="s">
        <v>385</v>
      </c>
    </row>
    <row r="72" spans="1:7">
      <c r="A72" s="140">
        <v>613</v>
      </c>
      <c r="B72" s="141" t="s">
        <v>458</v>
      </c>
      <c r="C72" s="141">
        <v>13.5</v>
      </c>
      <c r="D72" s="141">
        <v>9</v>
      </c>
      <c r="E72" s="141">
        <v>11.5</v>
      </c>
      <c r="F72" s="141" t="s">
        <v>384</v>
      </c>
      <c r="G72" s="141" t="s">
        <v>385</v>
      </c>
    </row>
    <row r="73" spans="1:7">
      <c r="A73" s="140">
        <v>614</v>
      </c>
      <c r="B73" s="141" t="s">
        <v>459</v>
      </c>
      <c r="C73" s="141">
        <v>13.5</v>
      </c>
      <c r="D73" s="141">
        <v>9</v>
      </c>
      <c r="E73" s="141">
        <v>11.5</v>
      </c>
      <c r="F73" s="141" t="s">
        <v>384</v>
      </c>
      <c r="G73" s="141" t="s">
        <v>385</v>
      </c>
    </row>
    <row r="74" spans="1:7">
      <c r="A74" s="140">
        <v>615</v>
      </c>
      <c r="B74" s="141" t="s">
        <v>460</v>
      </c>
      <c r="C74" s="141">
        <v>13.5</v>
      </c>
      <c r="D74" s="141">
        <v>9</v>
      </c>
      <c r="E74" s="141">
        <v>11.5</v>
      </c>
      <c r="F74" s="141" t="s">
        <v>384</v>
      </c>
      <c r="G74" s="141" t="s">
        <v>385</v>
      </c>
    </row>
    <row r="75" spans="1:7">
      <c r="A75" s="140">
        <v>616</v>
      </c>
      <c r="B75" s="141" t="s">
        <v>461</v>
      </c>
      <c r="C75" s="141">
        <v>13.5</v>
      </c>
      <c r="D75" s="141">
        <v>9</v>
      </c>
      <c r="E75" s="141">
        <v>11.5</v>
      </c>
      <c r="F75" s="141" t="s">
        <v>384</v>
      </c>
      <c r="G75" s="141" t="s">
        <v>385</v>
      </c>
    </row>
    <row r="76" spans="1:7">
      <c r="A76" s="140">
        <v>617</v>
      </c>
      <c r="B76" s="141" t="s">
        <v>462</v>
      </c>
      <c r="C76" s="141">
        <v>13.5</v>
      </c>
      <c r="D76" s="141">
        <v>9</v>
      </c>
      <c r="E76" s="141">
        <v>11.5</v>
      </c>
      <c r="F76" s="141" t="s">
        <v>384</v>
      </c>
      <c r="G76" s="141" t="s">
        <v>385</v>
      </c>
    </row>
    <row r="77" spans="1:7">
      <c r="A77" s="140">
        <v>618</v>
      </c>
      <c r="B77" s="141" t="s">
        <v>463</v>
      </c>
      <c r="C77" s="141">
        <v>13.5</v>
      </c>
      <c r="D77" s="141">
        <v>9</v>
      </c>
      <c r="E77" s="141">
        <v>11.5</v>
      </c>
      <c r="F77" s="141" t="s">
        <v>384</v>
      </c>
      <c r="G77" s="141" t="s">
        <v>385</v>
      </c>
    </row>
    <row r="78" spans="1:7">
      <c r="A78" s="140">
        <v>619</v>
      </c>
      <c r="B78" s="141" t="s">
        <v>464</v>
      </c>
      <c r="C78" s="141">
        <v>13.5</v>
      </c>
      <c r="D78" s="141">
        <v>9</v>
      </c>
      <c r="E78" s="141">
        <v>11.5</v>
      </c>
      <c r="F78" s="141" t="s">
        <v>384</v>
      </c>
      <c r="G78" s="141" t="s">
        <v>385</v>
      </c>
    </row>
    <row r="79" spans="1:7">
      <c r="A79" s="140">
        <v>620</v>
      </c>
      <c r="B79" s="141" t="s">
        <v>465</v>
      </c>
      <c r="C79" s="141">
        <v>13.5</v>
      </c>
      <c r="D79" s="141">
        <v>9</v>
      </c>
      <c r="E79" s="141">
        <v>11.5</v>
      </c>
      <c r="F79" s="141" t="s">
        <v>384</v>
      </c>
      <c r="G79" s="141" t="s">
        <v>385</v>
      </c>
    </row>
    <row r="80" spans="1:7">
      <c r="A80" s="140" t="str">
        <f>RIGHT(Type_DT[[#This Row],[Nama DT]],3)</f>
        <v>932</v>
      </c>
      <c r="B80" s="141" t="s">
        <v>466</v>
      </c>
      <c r="C80" s="141">
        <v>11</v>
      </c>
      <c r="D80" s="141">
        <v>10</v>
      </c>
      <c r="E80" s="141" t="s">
        <v>467</v>
      </c>
      <c r="F80" s="141" t="s">
        <v>431</v>
      </c>
      <c r="G80" s="141">
        <v>30</v>
      </c>
    </row>
    <row r="81" spans="1:7">
      <c r="A81" s="140" t="str">
        <f>RIGHT(Type_DT[[#This Row],[Nama DT]],3)</f>
        <v>933</v>
      </c>
      <c r="B81" s="141" t="s">
        <v>468</v>
      </c>
      <c r="C81" s="141">
        <v>11</v>
      </c>
      <c r="D81" s="141">
        <v>10</v>
      </c>
      <c r="E81" s="141" t="s">
        <v>467</v>
      </c>
      <c r="F81" s="141" t="s">
        <v>431</v>
      </c>
      <c r="G81" s="141">
        <v>30</v>
      </c>
    </row>
    <row r="82" spans="1:7">
      <c r="A82" s="140" t="str">
        <f>RIGHT(Type_DT[[#This Row],[Nama DT]],3)</f>
        <v>934</v>
      </c>
      <c r="B82" s="141" t="s">
        <v>469</v>
      </c>
      <c r="C82" s="141">
        <v>11</v>
      </c>
      <c r="D82" s="141">
        <v>10</v>
      </c>
      <c r="E82" s="141" t="s">
        <v>467</v>
      </c>
      <c r="F82" s="141" t="s">
        <v>431</v>
      </c>
      <c r="G82" s="141">
        <v>30</v>
      </c>
    </row>
    <row r="83" spans="1:7">
      <c r="A83" s="140" t="str">
        <f>RIGHT(Type_DT[[#This Row],[Nama DT]],3)</f>
        <v>935</v>
      </c>
      <c r="B83" s="141" t="s">
        <v>470</v>
      </c>
      <c r="C83" s="141">
        <v>11</v>
      </c>
      <c r="D83" s="141">
        <v>10</v>
      </c>
      <c r="E83" s="141" t="s">
        <v>467</v>
      </c>
      <c r="F83" s="141" t="s">
        <v>431</v>
      </c>
      <c r="G83" s="141">
        <v>30</v>
      </c>
    </row>
    <row r="84" spans="1:7">
      <c r="A84" s="140" t="str">
        <f>RIGHT(Type_DT[[#This Row],[Nama DT]],3)</f>
        <v>936</v>
      </c>
      <c r="B84" s="141" t="s">
        <v>471</v>
      </c>
      <c r="C84" s="141">
        <v>11</v>
      </c>
      <c r="D84" s="141">
        <v>10</v>
      </c>
      <c r="E84" s="141" t="s">
        <v>467</v>
      </c>
      <c r="F84" s="141" t="s">
        <v>431</v>
      </c>
      <c r="G84" s="141">
        <v>30</v>
      </c>
    </row>
    <row r="85" spans="1:7">
      <c r="A85" s="140" t="str">
        <f>RIGHT(Type_DT[[#This Row],[Nama DT]],3)</f>
        <v>937</v>
      </c>
      <c r="B85" s="141" t="s">
        <v>472</v>
      </c>
      <c r="C85" s="141">
        <v>11</v>
      </c>
      <c r="D85" s="141">
        <v>10</v>
      </c>
      <c r="E85" s="141" t="s">
        <v>467</v>
      </c>
      <c r="F85" s="141" t="s">
        <v>431</v>
      </c>
      <c r="G85" s="141">
        <v>30</v>
      </c>
    </row>
    <row r="86" spans="1:7">
      <c r="A86" s="140" t="str">
        <f>RIGHT(Type_DT[[#This Row],[Nama DT]],3)</f>
        <v>938</v>
      </c>
      <c r="B86" s="141" t="s">
        <v>473</v>
      </c>
      <c r="C86" s="141">
        <v>11</v>
      </c>
      <c r="D86" s="141">
        <v>10</v>
      </c>
      <c r="E86" s="141" t="s">
        <v>467</v>
      </c>
      <c r="F86" s="141" t="s">
        <v>431</v>
      </c>
      <c r="G86" s="141">
        <v>30</v>
      </c>
    </row>
    <row r="87" spans="1:7">
      <c r="A87" s="140" t="str">
        <f>RIGHT(Type_DT[[#This Row],[Nama DT]],3)</f>
        <v>939</v>
      </c>
      <c r="B87" s="141" t="s">
        <v>474</v>
      </c>
      <c r="C87" s="141">
        <v>11</v>
      </c>
      <c r="D87" s="141">
        <v>10</v>
      </c>
      <c r="E87" s="141" t="s">
        <v>467</v>
      </c>
      <c r="F87" s="141" t="s">
        <v>431</v>
      </c>
      <c r="G87" s="141">
        <v>30</v>
      </c>
    </row>
    <row r="88" spans="1:7">
      <c r="A88" s="140" t="str">
        <f>RIGHT(Type_DT[[#This Row],[Nama DT]],3)</f>
        <v>940</v>
      </c>
      <c r="B88" s="141" t="s">
        <v>475</v>
      </c>
      <c r="C88" s="141">
        <v>11</v>
      </c>
      <c r="D88" s="141">
        <v>10</v>
      </c>
      <c r="E88" s="141" t="s">
        <v>467</v>
      </c>
      <c r="F88" s="141" t="s">
        <v>431</v>
      </c>
      <c r="G88" s="141">
        <v>30</v>
      </c>
    </row>
    <row r="89" spans="1:7">
      <c r="A89" s="140" t="str">
        <f>RIGHT(Type_DT[[#This Row],[Nama DT]],3)</f>
        <v>951</v>
      </c>
      <c r="B89" s="141" t="s">
        <v>476</v>
      </c>
      <c r="C89" s="141">
        <v>11</v>
      </c>
      <c r="D89" s="141">
        <v>10</v>
      </c>
      <c r="E89" s="141" t="s">
        <v>467</v>
      </c>
      <c r="F89" s="141" t="s">
        <v>431</v>
      </c>
      <c r="G89" s="141">
        <v>30</v>
      </c>
    </row>
    <row r="90" spans="1:7">
      <c r="A90" s="140" t="str">
        <f>RIGHT(Type_DT[[#This Row],[Nama DT]],3)</f>
        <v>952</v>
      </c>
      <c r="B90" s="141" t="s">
        <v>477</v>
      </c>
      <c r="C90" s="141">
        <v>11</v>
      </c>
      <c r="D90" s="141">
        <v>10</v>
      </c>
      <c r="E90" s="141" t="s">
        <v>467</v>
      </c>
      <c r="F90" s="141" t="s">
        <v>431</v>
      </c>
      <c r="G90" s="141">
        <v>30</v>
      </c>
    </row>
    <row r="91" spans="1:7">
      <c r="A91" s="140" t="str">
        <f>RIGHT(Type_DT[[#This Row],[Nama DT]],3)</f>
        <v>953</v>
      </c>
      <c r="B91" s="141" t="s">
        <v>478</v>
      </c>
      <c r="C91" s="141">
        <v>11</v>
      </c>
      <c r="D91" s="141">
        <v>10</v>
      </c>
      <c r="E91" s="141" t="s">
        <v>467</v>
      </c>
      <c r="F91" s="141" t="s">
        <v>431</v>
      </c>
      <c r="G91" s="141">
        <v>30</v>
      </c>
    </row>
    <row r="92" spans="1:7">
      <c r="A92" s="140" t="str">
        <f>RIGHT(Type_DT[[#This Row],[Nama DT]],3)</f>
        <v>954</v>
      </c>
      <c r="B92" s="141" t="s">
        <v>479</v>
      </c>
      <c r="C92" s="141">
        <v>11</v>
      </c>
      <c r="D92" s="141">
        <v>10</v>
      </c>
      <c r="E92" s="141" t="s">
        <v>467</v>
      </c>
      <c r="F92" s="141" t="s">
        <v>431</v>
      </c>
      <c r="G92" s="141">
        <v>30</v>
      </c>
    </row>
    <row r="93" spans="1:7">
      <c r="A93" s="140" t="str">
        <f>RIGHT(Type_DT[[#This Row],[Nama DT]],3)</f>
        <v>955</v>
      </c>
      <c r="B93" s="141" t="s">
        <v>480</v>
      </c>
      <c r="C93" s="141">
        <v>11</v>
      </c>
      <c r="D93" s="141">
        <v>10</v>
      </c>
      <c r="E93" s="141" t="s">
        <v>467</v>
      </c>
      <c r="F93" s="141" t="s">
        <v>431</v>
      </c>
      <c r="G93" s="141">
        <v>30</v>
      </c>
    </row>
    <row r="94" spans="1:7">
      <c r="A94" s="140" t="str">
        <f>RIGHT(Type_DT[[#This Row],[Nama DT]],3)</f>
        <v>956</v>
      </c>
      <c r="B94" s="141" t="s">
        <v>481</v>
      </c>
      <c r="C94" s="141">
        <v>11</v>
      </c>
      <c r="D94" s="141">
        <v>10</v>
      </c>
      <c r="E94" s="141" t="s">
        <v>467</v>
      </c>
      <c r="F94" s="141" t="s">
        <v>431</v>
      </c>
      <c r="G94" s="141">
        <v>30</v>
      </c>
    </row>
    <row r="95" spans="1:7">
      <c r="A95" s="140" t="str">
        <f>RIGHT(Type_DT[[#This Row],[Nama DT]],3)</f>
        <v>957</v>
      </c>
      <c r="B95" s="141" t="s">
        <v>482</v>
      </c>
      <c r="C95" s="141">
        <v>11</v>
      </c>
      <c r="D95" s="141">
        <v>10</v>
      </c>
      <c r="E95" s="141" t="s">
        <v>467</v>
      </c>
      <c r="F95" s="141" t="s">
        <v>431</v>
      </c>
      <c r="G95" s="141">
        <v>30</v>
      </c>
    </row>
    <row r="96" spans="1:7">
      <c r="A96" s="140" t="str">
        <f>RIGHT(Type_DT[[#This Row],[Nama DT]],3)</f>
        <v>958</v>
      </c>
      <c r="B96" s="141" t="s">
        <v>483</v>
      </c>
      <c r="C96" s="141">
        <v>11</v>
      </c>
      <c r="D96" s="141">
        <v>10</v>
      </c>
      <c r="E96" s="141" t="s">
        <v>467</v>
      </c>
      <c r="F96" s="141" t="s">
        <v>431</v>
      </c>
      <c r="G96" s="141">
        <v>30</v>
      </c>
    </row>
    <row r="97" spans="1:7">
      <c r="A97" s="140" t="str">
        <f>RIGHT(Type_DT[[#This Row],[Nama DT]],3)</f>
        <v>959</v>
      </c>
      <c r="B97" s="141" t="s">
        <v>484</v>
      </c>
      <c r="C97" s="141">
        <v>11</v>
      </c>
      <c r="D97" s="141">
        <v>10</v>
      </c>
      <c r="E97" s="141" t="s">
        <v>467</v>
      </c>
      <c r="F97" s="141" t="s">
        <v>431</v>
      </c>
      <c r="G97" s="141">
        <v>30</v>
      </c>
    </row>
    <row r="98" spans="1:7">
      <c r="A98" s="140" t="str">
        <f>RIGHT(Type_DT[[#This Row],[Nama DT]],3)</f>
        <v>960</v>
      </c>
      <c r="B98" s="141" t="s">
        <v>485</v>
      </c>
      <c r="C98" s="141">
        <v>11</v>
      </c>
      <c r="D98" s="141">
        <v>10</v>
      </c>
      <c r="E98" s="141" t="s">
        <v>467</v>
      </c>
      <c r="F98" s="141" t="s">
        <v>431</v>
      </c>
      <c r="G98" s="141">
        <v>30</v>
      </c>
    </row>
    <row r="99" spans="1:7">
      <c r="A99" s="140" t="str">
        <f>RIGHT(Type_DT[[#This Row],[Nama DT]],3)</f>
        <v>966</v>
      </c>
      <c r="B99" s="141" t="s">
        <v>486</v>
      </c>
      <c r="C99" s="141">
        <v>11</v>
      </c>
      <c r="D99" s="141">
        <v>10</v>
      </c>
      <c r="E99" s="141" t="s">
        <v>467</v>
      </c>
      <c r="F99" s="141" t="s">
        <v>431</v>
      </c>
      <c r="G99" s="141">
        <v>30</v>
      </c>
    </row>
    <row r="100" spans="1:7">
      <c r="A100" s="140" t="str">
        <f>RIGHT(Type_DT[[#This Row],[Nama DT]],3)</f>
        <v>967</v>
      </c>
      <c r="B100" s="141" t="s">
        <v>487</v>
      </c>
      <c r="C100" s="141">
        <v>11</v>
      </c>
      <c r="D100" s="141">
        <v>10</v>
      </c>
      <c r="E100" s="141" t="s">
        <v>467</v>
      </c>
      <c r="F100" s="141" t="s">
        <v>431</v>
      </c>
      <c r="G100" s="141">
        <v>30</v>
      </c>
    </row>
    <row r="101" spans="1:7">
      <c r="A101" s="140" t="str">
        <f>RIGHT(Type_DT[[#This Row],[Nama DT]],3)</f>
        <v>968</v>
      </c>
      <c r="B101" s="141" t="s">
        <v>488</v>
      </c>
      <c r="C101" s="141">
        <v>11</v>
      </c>
      <c r="D101" s="141">
        <v>10</v>
      </c>
      <c r="E101" s="141" t="s">
        <v>467</v>
      </c>
      <c r="F101" s="141" t="s">
        <v>431</v>
      </c>
      <c r="G101" s="141">
        <v>30</v>
      </c>
    </row>
    <row r="102" spans="1:7">
      <c r="A102" s="140" t="str">
        <f>RIGHT(Type_DT[[#This Row],[Nama DT]],3)</f>
        <v>969</v>
      </c>
      <c r="B102" s="141" t="s">
        <v>489</v>
      </c>
      <c r="C102" s="141">
        <v>11</v>
      </c>
      <c r="D102" s="141">
        <v>10</v>
      </c>
      <c r="E102" s="141" t="s">
        <v>467</v>
      </c>
      <c r="F102" s="141" t="s">
        <v>431</v>
      </c>
      <c r="G102" s="141">
        <v>30</v>
      </c>
    </row>
    <row r="103" spans="1:7">
      <c r="A103" s="140" t="str">
        <f>RIGHT(Type_DT[[#This Row],[Nama DT]],3)</f>
        <v>970</v>
      </c>
      <c r="B103" s="141" t="s">
        <v>490</v>
      </c>
      <c r="C103" s="141">
        <v>11</v>
      </c>
      <c r="D103" s="141">
        <v>10</v>
      </c>
      <c r="E103" s="141" t="s">
        <v>467</v>
      </c>
      <c r="F103" s="141" t="s">
        <v>431</v>
      </c>
      <c r="G103" s="141">
        <v>30</v>
      </c>
    </row>
    <row r="104" spans="1:7">
      <c r="A104" s="140" t="str">
        <f>RIGHT(Type_DT[[#This Row],[Nama DT]],3)</f>
        <v>971</v>
      </c>
      <c r="B104" s="141" t="s">
        <v>491</v>
      </c>
      <c r="C104" s="141">
        <v>11</v>
      </c>
      <c r="D104" s="141">
        <v>10</v>
      </c>
      <c r="E104" s="141" t="s">
        <v>467</v>
      </c>
      <c r="F104" s="141" t="s">
        <v>431</v>
      </c>
      <c r="G104" s="141">
        <v>30</v>
      </c>
    </row>
    <row r="105" spans="1:7">
      <c r="A105" s="140" t="str">
        <f>RIGHT(Type_DT[[#This Row],[Nama DT]],3)</f>
        <v>972</v>
      </c>
      <c r="B105" s="141" t="s">
        <v>492</v>
      </c>
      <c r="C105" s="141">
        <v>11</v>
      </c>
      <c r="D105" s="141">
        <v>10</v>
      </c>
      <c r="E105" s="141" t="s">
        <v>467</v>
      </c>
      <c r="F105" s="141" t="s">
        <v>431</v>
      </c>
      <c r="G105" s="141">
        <v>30</v>
      </c>
    </row>
    <row r="106" spans="1:7">
      <c r="A106" s="140" t="str">
        <f>RIGHT(Type_DT[[#This Row],[Nama DT]],3)</f>
        <v>973</v>
      </c>
      <c r="B106" s="141" t="s">
        <v>493</v>
      </c>
      <c r="C106" s="141">
        <v>11</v>
      </c>
      <c r="D106" s="141">
        <v>10</v>
      </c>
      <c r="E106" s="141" t="s">
        <v>467</v>
      </c>
      <c r="F106" s="141" t="s">
        <v>431</v>
      </c>
      <c r="G106" s="141">
        <v>30</v>
      </c>
    </row>
    <row r="107" spans="1:7">
      <c r="A107" s="140" t="str">
        <f>RIGHT(Type_DT[[#This Row],[Nama DT]],3)</f>
        <v>974</v>
      </c>
      <c r="B107" s="141" t="s">
        <v>494</v>
      </c>
      <c r="C107" s="141">
        <v>11</v>
      </c>
      <c r="D107" s="141">
        <v>10</v>
      </c>
      <c r="E107" s="141" t="s">
        <v>467</v>
      </c>
      <c r="F107" s="141" t="s">
        <v>431</v>
      </c>
      <c r="G107" s="141">
        <v>30</v>
      </c>
    </row>
    <row r="108" spans="1:7">
      <c r="A108" s="140" t="str">
        <f>RIGHT(Type_DT[[#This Row],[Nama DT]],3)</f>
        <v>975</v>
      </c>
      <c r="B108" s="141" t="s">
        <v>495</v>
      </c>
      <c r="C108" s="141">
        <v>11</v>
      </c>
      <c r="D108" s="141">
        <v>10</v>
      </c>
      <c r="E108" s="141" t="s">
        <v>467</v>
      </c>
      <c r="F108" s="141" t="s">
        <v>431</v>
      </c>
      <c r="G108" s="141">
        <v>30</v>
      </c>
    </row>
    <row r="109" spans="1:7">
      <c r="A109" s="140" t="str">
        <f>RIGHT(Type_DT[[#This Row],[Nama DT]],3)</f>
        <v>976</v>
      </c>
      <c r="B109" s="141" t="s">
        <v>496</v>
      </c>
      <c r="C109" s="141">
        <v>11</v>
      </c>
      <c r="D109" s="141">
        <v>10</v>
      </c>
      <c r="E109" s="141" t="s">
        <v>467</v>
      </c>
      <c r="F109" s="141" t="s">
        <v>431</v>
      </c>
      <c r="G109" s="141">
        <v>30</v>
      </c>
    </row>
    <row r="110" spans="1:7">
      <c r="A110" s="140" t="str">
        <f>RIGHT(Type_DT[[#This Row],[Nama DT]],3)</f>
        <v>977</v>
      </c>
      <c r="B110" s="141" t="s">
        <v>497</v>
      </c>
      <c r="C110" s="141">
        <v>11</v>
      </c>
      <c r="D110" s="141">
        <v>10</v>
      </c>
      <c r="E110" s="141" t="s">
        <v>467</v>
      </c>
      <c r="F110" s="141" t="s">
        <v>431</v>
      </c>
      <c r="G110" s="141">
        <v>30</v>
      </c>
    </row>
    <row r="111" spans="1:7">
      <c r="A111" s="140" t="str">
        <f>RIGHT(Type_DT[[#This Row],[Nama DT]],3)</f>
        <v>978</v>
      </c>
      <c r="B111" s="141" t="s">
        <v>498</v>
      </c>
      <c r="C111" s="141">
        <v>11</v>
      </c>
      <c r="D111" s="141">
        <v>10</v>
      </c>
      <c r="E111" s="141" t="s">
        <v>467</v>
      </c>
      <c r="F111" s="141" t="s">
        <v>431</v>
      </c>
      <c r="G111" s="141">
        <v>30</v>
      </c>
    </row>
    <row r="112" spans="1:7">
      <c r="A112" s="140" t="str">
        <f>RIGHT(Type_DT[[#This Row],[Nama DT]],3)</f>
        <v>979</v>
      </c>
      <c r="B112" s="141" t="s">
        <v>499</v>
      </c>
      <c r="C112" s="141">
        <v>11</v>
      </c>
      <c r="D112" s="141">
        <v>10</v>
      </c>
      <c r="E112" s="141" t="s">
        <v>467</v>
      </c>
      <c r="F112" s="141" t="s">
        <v>431</v>
      </c>
      <c r="G112" s="141">
        <v>30</v>
      </c>
    </row>
    <row r="113" spans="1:7">
      <c r="A113" s="140" t="str">
        <f>RIGHT(Type_DT[[#This Row],[Nama DT]],3)</f>
        <v>980</v>
      </c>
      <c r="B113" s="141" t="s">
        <v>500</v>
      </c>
      <c r="C113" s="141">
        <v>11</v>
      </c>
      <c r="D113" s="141">
        <v>10</v>
      </c>
      <c r="E113" s="141" t="s">
        <v>467</v>
      </c>
      <c r="F113" s="141" t="s">
        <v>431</v>
      </c>
      <c r="G113" s="141">
        <v>30</v>
      </c>
    </row>
    <row r="114" spans="1:7">
      <c r="A114" s="140" t="str">
        <f>RIGHT(Type_DT[[#This Row],[Nama DT]],3)</f>
        <v>981</v>
      </c>
      <c r="B114" s="141" t="s">
        <v>501</v>
      </c>
      <c r="C114" s="141">
        <v>11</v>
      </c>
      <c r="D114" s="141">
        <v>10</v>
      </c>
      <c r="E114" s="141" t="s">
        <v>467</v>
      </c>
      <c r="F114" s="141" t="s">
        <v>431</v>
      </c>
      <c r="G114" s="141">
        <v>30</v>
      </c>
    </row>
    <row r="115" spans="1:7">
      <c r="A115" s="140" t="str">
        <f>RIGHT(Type_DT[[#This Row],[Nama DT]],3)</f>
        <v>982</v>
      </c>
      <c r="B115" s="141" t="s">
        <v>502</v>
      </c>
      <c r="C115" s="141">
        <v>11</v>
      </c>
      <c r="D115" s="141">
        <v>10</v>
      </c>
      <c r="E115" s="141" t="s">
        <v>467</v>
      </c>
      <c r="F115" s="141" t="s">
        <v>431</v>
      </c>
      <c r="G115" s="141">
        <v>30</v>
      </c>
    </row>
    <row r="116" spans="1:7">
      <c r="A116" s="140" t="str">
        <f>RIGHT(Type_DT[[#This Row],[Nama DT]],3)</f>
        <v>983</v>
      </c>
      <c r="B116" s="141" t="s">
        <v>503</v>
      </c>
      <c r="C116" s="141">
        <v>11</v>
      </c>
      <c r="D116" s="141">
        <v>10</v>
      </c>
      <c r="E116" s="141" t="s">
        <v>467</v>
      </c>
      <c r="F116" s="141" t="s">
        <v>431</v>
      </c>
      <c r="G116" s="141">
        <v>30</v>
      </c>
    </row>
    <row r="117" spans="1:7">
      <c r="A117" s="140" t="str">
        <f>RIGHT(Type_DT[[#This Row],[Nama DT]],3)</f>
        <v>984</v>
      </c>
      <c r="B117" s="141" t="s">
        <v>504</v>
      </c>
      <c r="C117" s="141">
        <v>11</v>
      </c>
      <c r="D117" s="141">
        <v>10</v>
      </c>
      <c r="E117" s="141" t="s">
        <v>467</v>
      </c>
      <c r="F117" s="141" t="s">
        <v>431</v>
      </c>
      <c r="G117" s="141">
        <v>30</v>
      </c>
    </row>
    <row r="118" spans="1:7">
      <c r="A118" s="140" t="str">
        <f>RIGHT(Type_DT[[#This Row],[Nama DT]],3)</f>
        <v>985</v>
      </c>
      <c r="B118" s="141" t="s">
        <v>505</v>
      </c>
      <c r="C118" s="141">
        <v>11</v>
      </c>
      <c r="D118" s="141">
        <v>10</v>
      </c>
      <c r="E118" s="141" t="s">
        <v>467</v>
      </c>
      <c r="F118" s="141" t="s">
        <v>431</v>
      </c>
      <c r="G118" s="141">
        <v>30</v>
      </c>
    </row>
    <row r="119" spans="1:7">
      <c r="A119" s="140" t="str">
        <f>RIGHT(Type_DT[[#This Row],[Nama DT]],3)</f>
        <v>986</v>
      </c>
      <c r="B119" s="141" t="s">
        <v>506</v>
      </c>
      <c r="C119" s="141">
        <v>11</v>
      </c>
      <c r="D119" s="141">
        <v>10</v>
      </c>
      <c r="E119" s="141" t="s">
        <v>467</v>
      </c>
      <c r="F119" s="141" t="s">
        <v>431</v>
      </c>
      <c r="G119" s="141">
        <v>30</v>
      </c>
    </row>
    <row r="120" spans="1:7">
      <c r="A120" s="140" t="str">
        <f>RIGHT(Type_DT[[#This Row],[Nama DT]],4)</f>
        <v>1001</v>
      </c>
      <c r="B120" s="141" t="s">
        <v>507</v>
      </c>
      <c r="C120" s="141">
        <v>15</v>
      </c>
      <c r="D120" s="141">
        <v>14</v>
      </c>
      <c r="E120" s="141" t="s">
        <v>508</v>
      </c>
      <c r="F120" s="141" t="s">
        <v>438</v>
      </c>
      <c r="G120" s="141">
        <v>35</v>
      </c>
    </row>
    <row r="121" spans="1:7">
      <c r="A121" s="140" t="str">
        <f>RIGHT(Type_DT[[#This Row],[Nama DT]],4)</f>
        <v>1002</v>
      </c>
      <c r="B121" s="141" t="s">
        <v>509</v>
      </c>
      <c r="C121" s="141">
        <v>15</v>
      </c>
      <c r="D121" s="141">
        <v>14</v>
      </c>
      <c r="E121" s="141" t="s">
        <v>508</v>
      </c>
      <c r="F121" s="141" t="s">
        <v>438</v>
      </c>
      <c r="G121" s="141">
        <v>35</v>
      </c>
    </row>
    <row r="122" spans="1:7">
      <c r="A122" s="140" t="str">
        <f>RIGHT(Type_DT[[#This Row],[Nama DT]],4)</f>
        <v>1003</v>
      </c>
      <c r="B122" s="141" t="s">
        <v>510</v>
      </c>
      <c r="C122" s="141">
        <v>15</v>
      </c>
      <c r="D122" s="141">
        <v>14</v>
      </c>
      <c r="E122" s="141" t="s">
        <v>508</v>
      </c>
      <c r="F122" s="141" t="s">
        <v>438</v>
      </c>
      <c r="G122" s="141">
        <v>35</v>
      </c>
    </row>
    <row r="123" spans="1:7">
      <c r="A123" s="140" t="str">
        <f>RIGHT(Type_DT[[#This Row],[Nama DT]],4)</f>
        <v>1004</v>
      </c>
      <c r="B123" s="141" t="s">
        <v>511</v>
      </c>
      <c r="C123" s="141">
        <v>15</v>
      </c>
      <c r="D123" s="141">
        <v>14</v>
      </c>
      <c r="E123" s="141" t="s">
        <v>508</v>
      </c>
      <c r="F123" s="141" t="s">
        <v>438</v>
      </c>
      <c r="G123" s="141">
        <v>35</v>
      </c>
    </row>
    <row r="124" spans="1:7">
      <c r="A124" s="140" t="str">
        <f>RIGHT(Type_DT[[#This Row],[Nama DT]],4)</f>
        <v>1005</v>
      </c>
      <c r="B124" s="141" t="s">
        <v>512</v>
      </c>
      <c r="C124" s="141">
        <v>15</v>
      </c>
      <c r="D124" s="141">
        <v>14</v>
      </c>
      <c r="E124" s="141" t="s">
        <v>508</v>
      </c>
      <c r="F124" s="141" t="s">
        <v>438</v>
      </c>
      <c r="G124" s="141">
        <v>35</v>
      </c>
    </row>
    <row r="125" spans="1:7">
      <c r="A125" s="140" t="str">
        <f>RIGHT(Type_DT[[#This Row],[Nama DT]],4)</f>
        <v>1006</v>
      </c>
      <c r="B125" s="141" t="s">
        <v>513</v>
      </c>
      <c r="C125" s="141">
        <v>15</v>
      </c>
      <c r="D125" s="141">
        <v>14</v>
      </c>
      <c r="E125" s="141" t="s">
        <v>508</v>
      </c>
      <c r="F125" s="141" t="s">
        <v>438</v>
      </c>
      <c r="G125" s="141">
        <v>35</v>
      </c>
    </row>
    <row r="126" spans="1:7">
      <c r="A126" s="140" t="str">
        <f>RIGHT(Type_DT[[#This Row],[Nama DT]],4)</f>
        <v>1007</v>
      </c>
      <c r="B126" s="141" t="s">
        <v>514</v>
      </c>
      <c r="C126" s="141">
        <v>15</v>
      </c>
      <c r="D126" s="141">
        <v>14</v>
      </c>
      <c r="E126" s="141" t="s">
        <v>508</v>
      </c>
      <c r="F126" s="141" t="s">
        <v>438</v>
      </c>
      <c r="G126" s="141">
        <v>35</v>
      </c>
    </row>
    <row r="127" spans="1:7">
      <c r="A127" s="140" t="str">
        <f>RIGHT(Type_DT[[#This Row],[Nama DT]],4)</f>
        <v>1008</v>
      </c>
      <c r="B127" s="141" t="s">
        <v>515</v>
      </c>
      <c r="C127" s="141">
        <v>15</v>
      </c>
      <c r="D127" s="141">
        <v>14</v>
      </c>
      <c r="E127" s="141" t="s">
        <v>508</v>
      </c>
      <c r="F127" s="141" t="s">
        <v>438</v>
      </c>
      <c r="G127" s="141">
        <v>35</v>
      </c>
    </row>
    <row r="128" spans="1:7">
      <c r="A128" s="140" t="str">
        <f>RIGHT(Type_DT[[#This Row],[Nama DT]],4)</f>
        <v>1009</v>
      </c>
      <c r="B128" s="141" t="s">
        <v>516</v>
      </c>
      <c r="C128" s="141">
        <v>15</v>
      </c>
      <c r="D128" s="141">
        <v>14</v>
      </c>
      <c r="E128" s="141" t="s">
        <v>508</v>
      </c>
      <c r="F128" s="141" t="s">
        <v>438</v>
      </c>
      <c r="G128" s="141">
        <v>35</v>
      </c>
    </row>
    <row r="129" spans="1:7">
      <c r="A129" s="140" t="str">
        <f>RIGHT(Type_DT[[#This Row],[Nama DT]],4)</f>
        <v>1010</v>
      </c>
      <c r="B129" s="141" t="s">
        <v>517</v>
      </c>
      <c r="C129" s="141">
        <v>15</v>
      </c>
      <c r="D129" s="141">
        <v>14</v>
      </c>
      <c r="E129" s="141" t="s">
        <v>508</v>
      </c>
      <c r="F129" s="141" t="s">
        <v>438</v>
      </c>
      <c r="G129" s="141">
        <v>35</v>
      </c>
    </row>
    <row r="130" spans="1:7">
      <c r="A130" s="140" t="str">
        <f>RIGHT(Type_DT[[#This Row],[Nama DT]],4)</f>
        <v>1011</v>
      </c>
      <c r="B130" s="141" t="s">
        <v>518</v>
      </c>
      <c r="C130" s="141">
        <v>15</v>
      </c>
      <c r="D130" s="141">
        <v>14</v>
      </c>
      <c r="E130" s="141" t="s">
        <v>508</v>
      </c>
      <c r="F130" s="141" t="s">
        <v>438</v>
      </c>
      <c r="G130" s="141">
        <v>35</v>
      </c>
    </row>
    <row r="131" spans="1:7">
      <c r="A131" s="140" t="str">
        <f>RIGHT(Type_DT[[#This Row],[Nama DT]],4)</f>
        <v>1012</v>
      </c>
      <c r="B131" s="141" t="s">
        <v>519</v>
      </c>
      <c r="C131" s="141">
        <v>15</v>
      </c>
      <c r="D131" s="141">
        <v>14</v>
      </c>
      <c r="E131" s="141" t="s">
        <v>508</v>
      </c>
      <c r="F131" s="141" t="s">
        <v>438</v>
      </c>
      <c r="G131" s="141">
        <v>35</v>
      </c>
    </row>
    <row r="132" spans="1:7">
      <c r="A132" s="140" t="str">
        <f>RIGHT(Type_DT[[#This Row],[Nama DT]],4)</f>
        <v>1013</v>
      </c>
      <c r="B132" s="141" t="s">
        <v>520</v>
      </c>
      <c r="C132" s="141">
        <v>15</v>
      </c>
      <c r="D132" s="141">
        <v>14</v>
      </c>
      <c r="E132" s="141" t="s">
        <v>508</v>
      </c>
      <c r="F132" s="141" t="s">
        <v>438</v>
      </c>
      <c r="G132" s="141">
        <v>35</v>
      </c>
    </row>
    <row r="133" spans="1:7">
      <c r="A133" s="140" t="str">
        <f>RIGHT(Type_DT[[#This Row],[Nama DT]],4)</f>
        <v>1014</v>
      </c>
      <c r="B133" s="141" t="s">
        <v>521</v>
      </c>
      <c r="C133" s="141">
        <v>15</v>
      </c>
      <c r="D133" s="141">
        <v>14</v>
      </c>
      <c r="E133" s="141" t="s">
        <v>508</v>
      </c>
      <c r="F133" s="141" t="s">
        <v>438</v>
      </c>
      <c r="G133" s="141">
        <v>35</v>
      </c>
    </row>
    <row r="134" spans="1:7">
      <c r="A134" s="140" t="str">
        <f>RIGHT(Type_DT[[#This Row],[Nama DT]],4)</f>
        <v>1015</v>
      </c>
      <c r="B134" s="141" t="s">
        <v>522</v>
      </c>
      <c r="C134" s="141">
        <v>15</v>
      </c>
      <c r="D134" s="141">
        <v>14</v>
      </c>
      <c r="E134" s="141" t="s">
        <v>508</v>
      </c>
      <c r="F134" s="141" t="s">
        <v>438</v>
      </c>
      <c r="G134" s="141">
        <v>35</v>
      </c>
    </row>
    <row r="135" spans="1:7">
      <c r="A135" s="140" t="str">
        <f>RIGHT(Type_DT[[#This Row],[Nama DT]],4)</f>
        <v>1016</v>
      </c>
      <c r="B135" s="141" t="s">
        <v>523</v>
      </c>
      <c r="C135" s="141">
        <v>15</v>
      </c>
      <c r="D135" s="141">
        <v>14</v>
      </c>
      <c r="E135" s="141" t="s">
        <v>508</v>
      </c>
      <c r="F135" s="141" t="s">
        <v>438</v>
      </c>
      <c r="G135" s="141">
        <v>35</v>
      </c>
    </row>
    <row r="136" spans="1:7">
      <c r="A136" s="140" t="str">
        <f>RIGHT(Type_DT[[#This Row],[Nama DT]],4)</f>
        <v>1017</v>
      </c>
      <c r="B136" s="141" t="s">
        <v>524</v>
      </c>
      <c r="C136" s="141">
        <v>15</v>
      </c>
      <c r="D136" s="141">
        <v>14</v>
      </c>
      <c r="E136" s="141" t="s">
        <v>508</v>
      </c>
      <c r="F136" s="141" t="s">
        <v>438</v>
      </c>
      <c r="G136" s="141">
        <v>35</v>
      </c>
    </row>
    <row r="137" spans="1:7">
      <c r="A137" s="140" t="str">
        <f>RIGHT(Type_DT[[#This Row],[Nama DT]],4)</f>
        <v>1018</v>
      </c>
      <c r="B137" s="141" t="s">
        <v>525</v>
      </c>
      <c r="C137" s="141">
        <v>15</v>
      </c>
      <c r="D137" s="141">
        <v>14</v>
      </c>
      <c r="E137" s="141" t="s">
        <v>508</v>
      </c>
      <c r="F137" s="141" t="s">
        <v>438</v>
      </c>
      <c r="G137" s="141">
        <v>35</v>
      </c>
    </row>
    <row r="138" spans="1:7">
      <c r="A138" s="140" t="str">
        <f>RIGHT(Type_DT[[#This Row],[Nama DT]],4)</f>
        <v>1019</v>
      </c>
      <c r="B138" s="141" t="s">
        <v>526</v>
      </c>
      <c r="C138" s="141">
        <v>15</v>
      </c>
      <c r="D138" s="141">
        <v>14</v>
      </c>
      <c r="E138" s="141" t="s">
        <v>508</v>
      </c>
      <c r="F138" s="141" t="s">
        <v>438</v>
      </c>
      <c r="G138" s="141">
        <v>35</v>
      </c>
    </row>
    <row r="139" spans="1:7">
      <c r="A139" s="140" t="str">
        <f>RIGHT(Type_DT[[#This Row],[Nama DT]],4)</f>
        <v>1020</v>
      </c>
      <c r="B139" s="141" t="s">
        <v>527</v>
      </c>
      <c r="C139" s="141">
        <v>15</v>
      </c>
      <c r="D139" s="141">
        <v>14</v>
      </c>
      <c r="E139" s="141" t="s">
        <v>508</v>
      </c>
      <c r="F139" s="141" t="s">
        <v>438</v>
      </c>
      <c r="G139" s="141">
        <v>35</v>
      </c>
    </row>
    <row r="140" spans="1:7">
      <c r="A140" s="140" t="str">
        <f>RIGHT(Type_DT[[#This Row],[Nama DT]],4)</f>
        <v>1021</v>
      </c>
      <c r="B140" s="141" t="s">
        <v>528</v>
      </c>
      <c r="C140" s="141">
        <v>15</v>
      </c>
      <c r="D140" s="141">
        <v>14</v>
      </c>
      <c r="E140" s="141" t="s">
        <v>508</v>
      </c>
      <c r="F140" s="141" t="s">
        <v>438</v>
      </c>
      <c r="G140" s="141">
        <v>35</v>
      </c>
    </row>
    <row r="141" spans="1:7">
      <c r="A141" s="140" t="str">
        <f>RIGHT(Type_DT[[#This Row],[Nama DT]],4)</f>
        <v>1022</v>
      </c>
      <c r="B141" s="141" t="s">
        <v>529</v>
      </c>
      <c r="C141" s="141">
        <v>15</v>
      </c>
      <c r="D141" s="141">
        <v>14</v>
      </c>
      <c r="E141" s="141" t="s">
        <v>508</v>
      </c>
      <c r="F141" s="141" t="s">
        <v>438</v>
      </c>
      <c r="G141" s="141">
        <v>35</v>
      </c>
    </row>
    <row r="142" spans="1:7">
      <c r="A142" s="140" t="str">
        <f>RIGHT(Type_DT[[#This Row],[Nama DT]],4)</f>
        <v>1023</v>
      </c>
      <c r="B142" s="141" t="s">
        <v>530</v>
      </c>
      <c r="C142" s="141">
        <v>15</v>
      </c>
      <c r="D142" s="141">
        <v>14</v>
      </c>
      <c r="E142" s="141" t="s">
        <v>508</v>
      </c>
      <c r="F142" s="141" t="s">
        <v>438</v>
      </c>
      <c r="G142" s="141">
        <v>35</v>
      </c>
    </row>
    <row r="143" spans="1:7">
      <c r="A143" s="140" t="str">
        <f>RIGHT(Type_DT[[#This Row],[Nama DT]],4)</f>
        <v>1024</v>
      </c>
      <c r="B143" s="141" t="s">
        <v>531</v>
      </c>
      <c r="C143" s="141">
        <v>15</v>
      </c>
      <c r="D143" s="141">
        <v>14</v>
      </c>
      <c r="E143" s="141" t="s">
        <v>508</v>
      </c>
      <c r="F143" s="141" t="s">
        <v>438</v>
      </c>
      <c r="G143" s="141">
        <v>35</v>
      </c>
    </row>
    <row r="144" spans="1:7">
      <c r="A144" s="140" t="str">
        <f>RIGHT(Type_DT[[#This Row],[Nama DT]],4)</f>
        <v>1025</v>
      </c>
      <c r="B144" s="141" t="s">
        <v>532</v>
      </c>
      <c r="C144" s="141">
        <v>15</v>
      </c>
      <c r="D144" s="141">
        <v>14</v>
      </c>
      <c r="E144" s="141" t="s">
        <v>508</v>
      </c>
      <c r="F144" s="141" t="s">
        <v>438</v>
      </c>
      <c r="G144" s="141">
        <v>35</v>
      </c>
    </row>
    <row r="145" spans="1:7">
      <c r="A145" s="140" t="str">
        <f>RIGHT(Type_DT[[#This Row],[Nama DT]],4)</f>
        <v>1026</v>
      </c>
      <c r="B145" s="141" t="s">
        <v>533</v>
      </c>
      <c r="C145" s="141">
        <v>15</v>
      </c>
      <c r="D145" s="141">
        <v>14</v>
      </c>
      <c r="E145" s="141" t="s">
        <v>508</v>
      </c>
      <c r="F145" s="141" t="s">
        <v>438</v>
      </c>
      <c r="G145" s="141">
        <v>35</v>
      </c>
    </row>
    <row r="146" spans="1:7">
      <c r="A146" s="140" t="str">
        <f>RIGHT(Type_DT[[#This Row],[Nama DT]],4)</f>
        <v>1027</v>
      </c>
      <c r="B146" s="141" t="s">
        <v>534</v>
      </c>
      <c r="C146" s="141">
        <v>15</v>
      </c>
      <c r="D146" s="141">
        <v>14</v>
      </c>
      <c r="E146" s="141" t="s">
        <v>508</v>
      </c>
      <c r="F146" s="141" t="s">
        <v>438</v>
      </c>
      <c r="G146" s="141">
        <v>35</v>
      </c>
    </row>
    <row r="147" spans="1:7">
      <c r="A147" s="140" t="str">
        <f>RIGHT(Type_DT[[#This Row],[Nama DT]],4)</f>
        <v>1028</v>
      </c>
      <c r="B147" s="141" t="s">
        <v>535</v>
      </c>
      <c r="C147" s="141">
        <v>15</v>
      </c>
      <c r="D147" s="141">
        <v>14</v>
      </c>
      <c r="E147" s="141" t="s">
        <v>508</v>
      </c>
      <c r="F147" s="141" t="s">
        <v>438</v>
      </c>
      <c r="G147" s="141">
        <v>35</v>
      </c>
    </row>
    <row r="148" spans="1:7">
      <c r="A148" s="140" t="str">
        <f>RIGHT(Type_DT[[#This Row],[Nama DT]],4)</f>
        <v>1029</v>
      </c>
      <c r="B148" s="141" t="s">
        <v>536</v>
      </c>
      <c r="C148" s="141">
        <v>15</v>
      </c>
      <c r="D148" s="141">
        <v>14</v>
      </c>
      <c r="E148" s="141" t="s">
        <v>508</v>
      </c>
      <c r="F148" s="141" t="s">
        <v>438</v>
      </c>
      <c r="G148" s="141">
        <v>35</v>
      </c>
    </row>
    <row r="149" spans="1:7">
      <c r="A149" s="140" t="str">
        <f>RIGHT(Type_DT[[#This Row],[Nama DT]],4)</f>
        <v>1030</v>
      </c>
      <c r="B149" s="141" t="s">
        <v>537</v>
      </c>
      <c r="C149" s="141">
        <v>15</v>
      </c>
      <c r="D149" s="141">
        <v>14</v>
      </c>
      <c r="E149" s="141" t="s">
        <v>508</v>
      </c>
      <c r="F149" s="141" t="s">
        <v>438</v>
      </c>
      <c r="G149" s="141">
        <v>35</v>
      </c>
    </row>
    <row r="150" spans="1:7">
      <c r="A150" s="140" t="str">
        <f>RIGHT(Type_DT[[#This Row],[Nama DT]],4)</f>
        <v>1031</v>
      </c>
      <c r="B150" s="141" t="s">
        <v>538</v>
      </c>
      <c r="C150" s="141">
        <v>15</v>
      </c>
      <c r="D150" s="141">
        <v>14</v>
      </c>
      <c r="E150" s="141" t="s">
        <v>508</v>
      </c>
      <c r="F150" s="141" t="s">
        <v>438</v>
      </c>
      <c r="G150" s="141">
        <v>35</v>
      </c>
    </row>
    <row r="151" spans="1:7">
      <c r="A151" s="140" t="str">
        <f>RIGHT(Type_DT[[#This Row],[Nama DT]],4)</f>
        <v>1032</v>
      </c>
      <c r="B151" s="141" t="s">
        <v>539</v>
      </c>
      <c r="C151" s="141">
        <v>15</v>
      </c>
      <c r="D151" s="141">
        <v>14</v>
      </c>
      <c r="E151" s="141" t="s">
        <v>508</v>
      </c>
      <c r="F151" s="141" t="s">
        <v>438</v>
      </c>
      <c r="G151" s="141">
        <v>35</v>
      </c>
    </row>
    <row r="152" spans="1:7">
      <c r="A152" s="140" t="str">
        <f>RIGHT(Type_DT[[#This Row],[Nama DT]],4)</f>
        <v>1033</v>
      </c>
      <c r="B152" s="141" t="s">
        <v>540</v>
      </c>
      <c r="C152" s="141">
        <v>15</v>
      </c>
      <c r="D152" s="141">
        <v>14</v>
      </c>
      <c r="E152" s="141" t="s">
        <v>508</v>
      </c>
      <c r="F152" s="141" t="s">
        <v>438</v>
      </c>
      <c r="G152" s="141">
        <v>35</v>
      </c>
    </row>
    <row r="153" spans="1:7">
      <c r="A153" s="140" t="str">
        <f>RIGHT(Type_DT[[#This Row],[Nama DT]],4)</f>
        <v>1034</v>
      </c>
      <c r="B153" s="141" t="s">
        <v>541</v>
      </c>
      <c r="C153" s="141">
        <v>15</v>
      </c>
      <c r="D153" s="141">
        <v>14</v>
      </c>
      <c r="E153" s="141" t="s">
        <v>508</v>
      </c>
      <c r="F153" s="141" t="s">
        <v>438</v>
      </c>
      <c r="G153" s="141">
        <v>35</v>
      </c>
    </row>
    <row r="154" spans="1:7">
      <c r="A154" s="140" t="str">
        <f>RIGHT(Type_DT[[#This Row],[Nama DT]],4)</f>
        <v>1035</v>
      </c>
      <c r="B154" s="141" t="s">
        <v>542</v>
      </c>
      <c r="C154" s="141">
        <v>15</v>
      </c>
      <c r="D154" s="141">
        <v>14</v>
      </c>
      <c r="E154" s="141" t="s">
        <v>508</v>
      </c>
      <c r="F154" s="141" t="s">
        <v>438</v>
      </c>
      <c r="G154" s="141">
        <v>35</v>
      </c>
    </row>
    <row r="155" spans="1:7">
      <c r="A155" s="140" t="str">
        <f>RIGHT(Type_DT[[#This Row],[Nama DT]],4)</f>
        <v>1036</v>
      </c>
      <c r="B155" s="141" t="s">
        <v>543</v>
      </c>
      <c r="C155" s="141">
        <v>15</v>
      </c>
      <c r="D155" s="141">
        <v>14</v>
      </c>
      <c r="E155" s="141" t="s">
        <v>508</v>
      </c>
      <c r="F155" s="141" t="s">
        <v>438</v>
      </c>
      <c r="G155" s="141">
        <v>35</v>
      </c>
    </row>
    <row r="156" spans="1:7">
      <c r="A156" s="140" t="str">
        <f>RIGHT(Type_DT[[#This Row],[Nama DT]],3)</f>
        <v>941</v>
      </c>
      <c r="B156" s="141" t="s">
        <v>544</v>
      </c>
      <c r="C156" s="141">
        <v>9</v>
      </c>
      <c r="D156" s="141">
        <v>7</v>
      </c>
      <c r="E156" s="141" t="s">
        <v>545</v>
      </c>
      <c r="F156" s="141" t="s">
        <v>546</v>
      </c>
      <c r="G156" s="141">
        <v>20</v>
      </c>
    </row>
    <row r="157" spans="1:7">
      <c r="A157" s="140" t="str">
        <f>RIGHT(Type_DT[[#This Row],[Nama DT]],3)</f>
        <v>942</v>
      </c>
      <c r="B157" s="141" t="s">
        <v>547</v>
      </c>
      <c r="C157" s="141">
        <v>9</v>
      </c>
      <c r="D157" s="141">
        <v>7</v>
      </c>
      <c r="E157" s="141" t="s">
        <v>545</v>
      </c>
      <c r="F157" s="141" t="s">
        <v>546</v>
      </c>
      <c r="G157" s="141">
        <v>20</v>
      </c>
    </row>
    <row r="158" spans="1:7">
      <c r="A158" s="140" t="str">
        <f>RIGHT(Type_DT[[#This Row],[Nama DT]],3)</f>
        <v>943</v>
      </c>
      <c r="B158" s="141" t="s">
        <v>548</v>
      </c>
      <c r="C158" s="141">
        <v>9</v>
      </c>
      <c r="D158" s="141">
        <v>7</v>
      </c>
      <c r="E158" s="141" t="s">
        <v>545</v>
      </c>
      <c r="F158" s="141" t="s">
        <v>546</v>
      </c>
      <c r="G158" s="141">
        <v>20</v>
      </c>
    </row>
    <row r="159" spans="1:7">
      <c r="A159" s="140" t="str">
        <f>RIGHT(Type_DT[[#This Row],[Nama DT]],3)</f>
        <v>944</v>
      </c>
      <c r="B159" s="141" t="s">
        <v>549</v>
      </c>
      <c r="C159" s="141">
        <v>9</v>
      </c>
      <c r="D159" s="141">
        <v>7</v>
      </c>
      <c r="E159" s="141" t="s">
        <v>545</v>
      </c>
      <c r="F159" s="141" t="s">
        <v>546</v>
      </c>
      <c r="G159" s="141">
        <v>20</v>
      </c>
    </row>
    <row r="160" spans="1:7">
      <c r="A160" s="140" t="str">
        <f>RIGHT(Type_DT[[#This Row],[Nama DT]],3)</f>
        <v>945</v>
      </c>
      <c r="B160" s="141" t="s">
        <v>550</v>
      </c>
      <c r="C160" s="141">
        <v>9</v>
      </c>
      <c r="D160" s="141">
        <v>7</v>
      </c>
      <c r="E160" s="141" t="s">
        <v>545</v>
      </c>
      <c r="F160" s="141" t="s">
        <v>546</v>
      </c>
      <c r="G160" s="141">
        <v>20</v>
      </c>
    </row>
    <row r="161" spans="1:7">
      <c r="A161" s="140" t="str">
        <f>RIGHT(Type_DT[[#This Row],[Nama DT]],3)</f>
        <v>946</v>
      </c>
      <c r="B161" s="141" t="s">
        <v>551</v>
      </c>
      <c r="C161" s="141">
        <v>9</v>
      </c>
      <c r="D161" s="141">
        <v>7</v>
      </c>
      <c r="E161" s="141" t="s">
        <v>545</v>
      </c>
      <c r="F161" s="141" t="s">
        <v>546</v>
      </c>
      <c r="G161" s="141">
        <v>20</v>
      </c>
    </row>
    <row r="162" spans="1:7">
      <c r="A162" s="140" t="str">
        <f>RIGHT(Type_DT[[#This Row],[Nama DT]],3)</f>
        <v>947</v>
      </c>
      <c r="B162" s="141" t="s">
        <v>552</v>
      </c>
      <c r="C162" s="141">
        <v>9</v>
      </c>
      <c r="D162" s="141">
        <v>7</v>
      </c>
      <c r="E162" s="141" t="s">
        <v>545</v>
      </c>
      <c r="F162" s="141" t="s">
        <v>546</v>
      </c>
      <c r="G162" s="141">
        <v>20</v>
      </c>
    </row>
    <row r="163" spans="1:7">
      <c r="A163" s="140" t="str">
        <f>RIGHT(Type_DT[[#This Row],[Nama DT]],3)</f>
        <v>949</v>
      </c>
      <c r="B163" s="141" t="s">
        <v>553</v>
      </c>
      <c r="C163" s="141">
        <v>9</v>
      </c>
      <c r="D163" s="141">
        <v>7</v>
      </c>
      <c r="E163" s="141" t="s">
        <v>545</v>
      </c>
      <c r="F163" s="141" t="s">
        <v>546</v>
      </c>
      <c r="G163" s="141">
        <v>20</v>
      </c>
    </row>
    <row r="164" spans="1:7">
      <c r="A164" s="140" t="str">
        <f>RIGHT(Type_DT[[#This Row],[Nama DT]],3)</f>
        <v>950</v>
      </c>
      <c r="B164" s="141" t="s">
        <v>554</v>
      </c>
      <c r="C164" s="141">
        <v>9</v>
      </c>
      <c r="D164" s="141">
        <v>7</v>
      </c>
      <c r="E164" s="141" t="s">
        <v>545</v>
      </c>
      <c r="F164" s="141" t="s">
        <v>546</v>
      </c>
      <c r="G164" s="141">
        <v>20</v>
      </c>
    </row>
    <row r="165" spans="1:7">
      <c r="A165" s="140" t="str">
        <f>RIGHT(Type_DT[[#This Row],[Nama DT]],3)</f>
        <v>951</v>
      </c>
      <c r="B165" s="141" t="s">
        <v>555</v>
      </c>
      <c r="C165" s="141">
        <v>9</v>
      </c>
      <c r="D165" s="141">
        <v>7</v>
      </c>
      <c r="E165" s="141" t="s">
        <v>545</v>
      </c>
      <c r="F165" s="141" t="s">
        <v>546</v>
      </c>
      <c r="G165" s="141">
        <v>20</v>
      </c>
    </row>
    <row r="166" spans="1:7">
      <c r="A166" s="140" t="str">
        <f>RIGHT(Type_DT[[#This Row],[Nama DT]],3)</f>
        <v>952</v>
      </c>
      <c r="B166" s="141" t="s">
        <v>556</v>
      </c>
      <c r="C166" s="141">
        <v>9</v>
      </c>
      <c r="D166" s="141">
        <v>7</v>
      </c>
      <c r="E166" s="141" t="s">
        <v>545</v>
      </c>
      <c r="F166" s="141" t="s">
        <v>546</v>
      </c>
      <c r="G166" s="141">
        <v>20</v>
      </c>
    </row>
    <row r="167" spans="1:7">
      <c r="A167" s="140" t="str">
        <f>RIGHT(Type_DT[[#This Row],[Nama DT]],3)</f>
        <v>914</v>
      </c>
      <c r="B167" s="141" t="s">
        <v>557</v>
      </c>
      <c r="C167" s="141">
        <v>9</v>
      </c>
      <c r="D167" s="141">
        <v>7</v>
      </c>
      <c r="E167" s="141" t="s">
        <v>545</v>
      </c>
      <c r="F167" s="141" t="s">
        <v>546</v>
      </c>
      <c r="G167" s="141">
        <v>20</v>
      </c>
    </row>
    <row r="168" spans="1:7">
      <c r="A168" s="140" t="str">
        <f>RIGHT(Type_DT[[#This Row],[Nama DT]],3)</f>
        <v>948</v>
      </c>
      <c r="B168" s="141" t="s">
        <v>558</v>
      </c>
      <c r="C168" s="141">
        <v>9</v>
      </c>
      <c r="D168" s="141">
        <v>7</v>
      </c>
      <c r="E168" s="141" t="s">
        <v>545</v>
      </c>
      <c r="F168" s="141" t="s">
        <v>546</v>
      </c>
      <c r="G168" s="141">
        <v>20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BM292"/>
  <sheetViews>
    <sheetView showGridLines="0" zoomScale="55" zoomScaleNormal="55" workbookViewId="0">
      <pane xSplit="2" ySplit="1" topLeftCell="C14" activePane="bottomRight" state="frozen"/>
      <selection activeCell="W55" sqref="W55"/>
      <selection pane="topRight" activeCell="W55" sqref="W55"/>
      <selection pane="bottomLeft" activeCell="W55" sqref="W55"/>
      <selection pane="bottomRight" activeCell="A47" sqref="A47:L53"/>
    </sheetView>
  </sheetViews>
  <sheetFormatPr defaultColWidth="8.88671875" defaultRowHeight="13.8"/>
  <cols>
    <col min="1" max="1" width="5.44140625" style="105" customWidth="1"/>
    <col min="2" max="2" width="6.6640625" style="125" customWidth="1"/>
    <col min="3" max="3" width="18" style="105" customWidth="1"/>
    <col min="4" max="4" width="13.109375" style="105" customWidth="1"/>
    <col min="5" max="5" width="8.88671875" style="105"/>
    <col min="6" max="6" width="4.88671875" style="105" customWidth="1"/>
    <col min="7" max="7" width="7.109375" style="105" customWidth="1"/>
    <col min="8" max="8" width="8.33203125" style="105" customWidth="1"/>
    <col min="9" max="9" width="8" style="105" customWidth="1"/>
    <col min="10" max="10" width="28" style="105" customWidth="1"/>
    <col min="11" max="11" width="8.88671875" style="105" customWidth="1"/>
    <col min="12" max="14" width="8.88671875" style="105"/>
    <col min="15" max="15" width="17.5546875" style="126" customWidth="1"/>
    <col min="16" max="16" width="8.88671875" style="105"/>
    <col min="17" max="17" width="18.5546875" style="105" customWidth="1"/>
    <col min="18" max="18" width="8.88671875" style="105"/>
    <col min="19" max="19" width="14" style="105" customWidth="1"/>
    <col min="20" max="20" width="14.44140625" style="105" customWidth="1"/>
    <col min="21" max="21" width="8.109375" style="105" customWidth="1"/>
    <col min="22" max="22" width="8.88671875" style="105"/>
    <col min="23" max="23" width="12.33203125" style="105" customWidth="1"/>
    <col min="24" max="24" width="17.5546875" style="105" customWidth="1"/>
    <col min="25" max="25" width="21.109375" style="105" customWidth="1"/>
    <col min="26" max="26" width="33.6640625" style="105" customWidth="1"/>
    <col min="27" max="27" width="33.109375" style="105" customWidth="1"/>
    <col min="28" max="28" width="13" style="105" customWidth="1"/>
    <col min="29" max="29" width="19" style="105" customWidth="1"/>
    <col min="30" max="30" width="8.88671875" style="105"/>
    <col min="31" max="31" width="29" style="105" customWidth="1"/>
    <col min="32" max="32" width="13" style="105" customWidth="1"/>
    <col min="33" max="33" width="13.44140625" style="105" customWidth="1"/>
    <col min="34" max="36" width="8.88671875" style="105"/>
    <col min="37" max="37" width="19.6640625" style="105" customWidth="1"/>
    <col min="38" max="38" width="15.5546875" style="105" customWidth="1"/>
    <col min="39" max="39" width="6.44140625" style="105" customWidth="1"/>
    <col min="40" max="40" width="9" style="105" customWidth="1"/>
    <col min="41" max="41" width="9.33203125" style="105" customWidth="1"/>
    <col min="42" max="42" width="8" style="105" customWidth="1"/>
    <col min="43" max="43" width="5.44140625" style="105" customWidth="1"/>
    <col min="44" max="44" width="9" style="105" customWidth="1"/>
    <col min="45" max="45" width="8" style="105" customWidth="1"/>
    <col min="46" max="46" width="10.33203125" style="105" customWidth="1"/>
    <col min="47" max="47" width="8" style="105" customWidth="1"/>
    <col min="48" max="48" width="10.33203125" style="105" customWidth="1"/>
    <col min="49" max="55" width="8.88671875" style="105"/>
    <col min="56" max="56" width="9.33203125" style="105" customWidth="1"/>
    <col min="57" max="57" width="13.88671875" style="105" customWidth="1"/>
    <col min="58" max="58" width="6" style="105" customWidth="1"/>
    <col min="59" max="59" width="7.6640625" style="105" customWidth="1"/>
    <col min="60" max="60" width="16" style="105" customWidth="1"/>
    <col min="61" max="62" width="8.88671875" style="105"/>
    <col min="63" max="63" width="9.33203125" style="105" customWidth="1"/>
    <col min="64" max="64" width="13.88671875" style="105" customWidth="1"/>
    <col min="65" max="65" width="21.109375" style="105" customWidth="1"/>
    <col min="66" max="16384" width="8.88671875" style="105"/>
  </cols>
  <sheetData>
    <row r="1" spans="1:65" ht="41.4">
      <c r="A1" s="127" t="s">
        <v>559</v>
      </c>
      <c r="B1" s="127" t="s">
        <v>278</v>
      </c>
      <c r="C1" s="127" t="s">
        <v>718</v>
      </c>
      <c r="D1" s="127" t="s">
        <v>719</v>
      </c>
      <c r="E1" s="127" t="s">
        <v>720</v>
      </c>
      <c r="F1" s="127" t="s">
        <v>721</v>
      </c>
      <c r="G1" s="127" t="s">
        <v>722</v>
      </c>
      <c r="H1" s="127" t="s">
        <v>723</v>
      </c>
      <c r="I1" s="127" t="s">
        <v>724</v>
      </c>
      <c r="J1" s="127" t="s">
        <v>725</v>
      </c>
      <c r="K1" s="127" t="s">
        <v>726</v>
      </c>
      <c r="L1" s="127" t="s">
        <v>727</v>
      </c>
      <c r="M1" s="127" t="s">
        <v>319</v>
      </c>
      <c r="N1" s="128" t="s">
        <v>346</v>
      </c>
      <c r="O1" s="129" t="s">
        <v>560</v>
      </c>
      <c r="P1" s="128" t="s">
        <v>561</v>
      </c>
      <c r="Q1" s="128" t="s">
        <v>562</v>
      </c>
      <c r="R1" s="128" t="s">
        <v>563</v>
      </c>
      <c r="S1" s="128" t="s">
        <v>564</v>
      </c>
      <c r="T1" s="128" t="s">
        <v>565</v>
      </c>
      <c r="U1" s="128" t="s">
        <v>566</v>
      </c>
      <c r="V1" s="128" t="s">
        <v>347</v>
      </c>
      <c r="W1" s="128" t="s">
        <v>567</v>
      </c>
      <c r="X1" s="128" t="s">
        <v>568</v>
      </c>
      <c r="Y1" s="128" t="s">
        <v>569</v>
      </c>
      <c r="Z1" s="128" t="s">
        <v>570</v>
      </c>
      <c r="AA1" s="128" t="s">
        <v>571</v>
      </c>
      <c r="AB1" s="128" t="s">
        <v>572</v>
      </c>
      <c r="AC1" s="131" t="s">
        <v>573</v>
      </c>
      <c r="AR1" s="125"/>
      <c r="AS1" s="134" t="s">
        <v>574</v>
      </c>
      <c r="AT1" s="134"/>
      <c r="AU1" s="134" t="s">
        <v>575</v>
      </c>
      <c r="AV1" s="125"/>
      <c r="BD1" s="105" t="s">
        <v>377</v>
      </c>
      <c r="BE1" s="105" t="s">
        <v>378</v>
      </c>
      <c r="BF1" s="105" t="s">
        <v>22</v>
      </c>
      <c r="BG1" s="105" t="s">
        <v>379</v>
      </c>
      <c r="BH1" s="105" t="s">
        <v>380</v>
      </c>
      <c r="BI1" s="105" t="s">
        <v>381</v>
      </c>
      <c r="BK1" s="105" t="s">
        <v>377</v>
      </c>
      <c r="BL1" s="105" t="s">
        <v>378</v>
      </c>
      <c r="BM1" s="105" t="s">
        <v>380</v>
      </c>
    </row>
    <row r="2" spans="1:65" ht="14.4">
      <c r="A2" s="105">
        <v>1</v>
      </c>
      <c r="B2" s="125">
        <v>1</v>
      </c>
      <c r="C2" s="105" t="s">
        <v>451</v>
      </c>
      <c r="D2" s="105" t="s">
        <v>741</v>
      </c>
      <c r="E2" s="105" t="s">
        <v>729</v>
      </c>
      <c r="F2" s="105">
        <v>13</v>
      </c>
      <c r="G2" s="105">
        <v>13.5</v>
      </c>
      <c r="H2" s="105">
        <v>175.5</v>
      </c>
      <c r="I2" s="105" t="s">
        <v>109</v>
      </c>
      <c r="J2" s="105" t="s">
        <v>742</v>
      </c>
      <c r="K2" s="105">
        <v>3500</v>
      </c>
      <c r="L2" s="130" t="s">
        <v>730</v>
      </c>
      <c r="M2" s="105">
        <f>OB_Act[[#This Row],[Volume (BCM)]]*OB_Act[[#This Row],[Distance (Meter)]]</f>
        <v>614250</v>
      </c>
      <c r="N2" s="105" t="str">
        <f>LEFT(OB_Act[[#This Row],[Dump Truck]],3)</f>
        <v>SNS</v>
      </c>
      <c r="O2" s="126" t="str">
        <f>OB_Act[[#This Row],[Day]]&amp;OB_Act[[#This Row],[Excavator]]&amp;OB_Act[[#This Row],[Contractor]]&amp;OB_Act[[#This Row],[Pit]]&amp;OB_Act[[#This Row],[Shift]]</f>
        <v>1SNS-EX400-225SNSPIT M4EW1</v>
      </c>
      <c r="P2" s="126">
        <f>1/COUNTIF(OB_Act[Dummy_Exc],OB_Act[[#This Row],[Dummy_Exc]])</f>
        <v>0.25</v>
      </c>
      <c r="Q2" s="105" t="str">
        <f>OB_Act[[#This Row],[Day]]&amp;OB_Act[[#This Row],[Dump Truck]]&amp;OB_Act[[#This Row],[Pit]]&amp;OB_Act[[#This Row],[Shift]]</f>
        <v>1SNS-SN606PIT M4EW1</v>
      </c>
      <c r="R2" s="126">
        <f>1/COUNTIF(OB_Act[Dummy_DT],OB_Act[[#This Row],[Dummy_DT]])</f>
        <v>1</v>
      </c>
      <c r="S2" s="126">
        <f>OB_Act[[#This Row],[Distance (Meter)]]*OB_Act[[#This Row],[Volume (BCM)]]</f>
        <v>614250</v>
      </c>
      <c r="T2" s="105" t="str">
        <f>OB_Act[[#This Row],[Day]]&amp;OB_Act[[#This Row],[Dump Truck]]&amp;OB_Act[[#This Row],[Contractor]]&amp;OB_Act[[#This Row],[Excavator]]&amp;OB_Act[[#This Row],[Shift]]</f>
        <v>1SNS-SN606SNSSNS-EX400-2251</v>
      </c>
      <c r="U2" s="126">
        <f>1/COUNTIF(OB_Act[Dummy_DT/Exc],OB_Act[[#This Row],[Dummy_DT/Exc]])</f>
        <v>1</v>
      </c>
      <c r="V2" s="126" t="str">
        <f>VLOOKUP(OB_Act[[#This Row],[Day]],$AO$2:$AR$32,4,0)</f>
        <v>Week I</v>
      </c>
      <c r="W2" s="126" t="e">
        <f>VLOOKUP(OB_Act[[#This Row],[Dump Area]],$AE$2:$AF$51,2,0)</f>
        <v>#N/A</v>
      </c>
      <c r="X2" s="126" t="str">
        <f>OB_Act[[#This Row],[Excavator]]&amp;OB_Act[[#This Row],[Contractor]]</f>
        <v>SNS-EX400-225SNS</v>
      </c>
      <c r="Y2" s="131" t="str">
        <f>IF(OB_Act[[#This Row],[Material]]="MUD",VLOOKUP(OB_Act[[#This Row],[Dump Truck]],Type_mud[[Nama DT]:[Type]],2,0),VLOOKUP(OB_Act[[#This Row],[Dump Truck]],Type_DT_OB[[Nama DT]:[Type]],4,0))</f>
        <v>SNS-VOLVO-35T</v>
      </c>
      <c r="Z2" s="126" t="str">
        <f>"JBG-OP1-CENTRAL-"&amp;VLOOKUP(OB_Act[[#This Row],[Pit]],$AK$2:$AL$9,2,0)&amp;"-WASTE-"&amp;OB_Act[[#This Row],[Material]]</f>
        <v>JBG-OP1-CENTRAL-M4EW-WASTE-TS</v>
      </c>
      <c r="AA2" s="126" t="e">
        <f>"JBG-DUMP1-"&amp;VLOOKUP(OB_Act[[#This Row],[Dump]],$AF$2:$AG$55,2,0)&amp;"-"&amp;OB_Act[[#This Row],[Material]]</f>
        <v>#N/A</v>
      </c>
      <c r="AB2" s="126" t="str">
        <f>"JBG-"&amp;OB_Act[[#This Row],[Material]]</f>
        <v>JBG-TS</v>
      </c>
      <c r="AE2" s="132" t="s">
        <v>25</v>
      </c>
      <c r="AF2" s="132" t="s">
        <v>25</v>
      </c>
      <c r="AG2" s="132" t="s">
        <v>578</v>
      </c>
      <c r="AK2" s="105" t="s">
        <v>111</v>
      </c>
      <c r="AL2" s="105" t="s">
        <v>23</v>
      </c>
      <c r="AO2" s="135">
        <f>DAY(AP2)</f>
        <v>1</v>
      </c>
      <c r="AP2" s="136">
        <v>46082</v>
      </c>
      <c r="AQ2" s="137" t="str">
        <f>CHOOSE(WEEKDAY(AP2),"Sun","Mon","Tue","Wed","Thu","Fri","Sat")</f>
        <v>Sun</v>
      </c>
      <c r="AR2" s="135" t="s">
        <v>579</v>
      </c>
      <c r="AS2" s="134">
        <v>15</v>
      </c>
      <c r="AT2" s="134"/>
      <c r="AU2" s="134">
        <v>15</v>
      </c>
      <c r="AV2" s="125"/>
      <c r="BD2" s="105" t="str">
        <f>RIGHT(Type_DT_OB[[#This Row],[Nama DT]],3)</f>
        <v>511</v>
      </c>
      <c r="BE2" s="105" t="s">
        <v>383</v>
      </c>
      <c r="BF2" s="105">
        <v>14.5</v>
      </c>
      <c r="BG2" s="105">
        <v>9</v>
      </c>
      <c r="BH2" s="105" t="s">
        <v>384</v>
      </c>
      <c r="BI2" s="105" t="s">
        <v>385</v>
      </c>
      <c r="BK2" s="105" t="str">
        <f>RIGHT(Type_mud[[#This Row],[Nama DT]],3)</f>
        <v>511</v>
      </c>
      <c r="BL2" s="105" t="s">
        <v>383</v>
      </c>
      <c r="BM2" s="105" t="s">
        <v>580</v>
      </c>
    </row>
    <row r="3" spans="1:65" ht="14.4">
      <c r="A3" s="105">
        <v>1</v>
      </c>
      <c r="B3" s="125">
        <v>1</v>
      </c>
      <c r="C3" s="105" t="s">
        <v>732</v>
      </c>
      <c r="D3" s="105" t="s">
        <v>741</v>
      </c>
      <c r="E3" s="105" t="s">
        <v>729</v>
      </c>
      <c r="F3" s="105">
        <v>12</v>
      </c>
      <c r="G3" s="105">
        <v>10.5</v>
      </c>
      <c r="H3" s="105">
        <v>126</v>
      </c>
      <c r="I3" s="105" t="s">
        <v>109</v>
      </c>
      <c r="J3" s="105" t="s">
        <v>742</v>
      </c>
      <c r="K3" s="105">
        <v>3500</v>
      </c>
      <c r="L3" s="105" t="s">
        <v>730</v>
      </c>
      <c r="M3" s="105">
        <f>OB_Act[[#This Row],[Volume (BCM)]]*OB_Act[[#This Row],[Distance (Meter)]]</f>
        <v>441000</v>
      </c>
      <c r="N3" s="105" t="str">
        <f>LEFT(OB_Act[[#This Row],[Dump Truck]],3)</f>
        <v>SNS</v>
      </c>
      <c r="O3" s="126" t="str">
        <f>OB_Act[[#This Row],[Day]]&amp;OB_Act[[#This Row],[Excavator]]&amp;OB_Act[[#This Row],[Contractor]]&amp;OB_Act[[#This Row],[Pit]]&amp;OB_Act[[#This Row],[Shift]]</f>
        <v>1SNS-EX400-225SNSPIT M4EW1</v>
      </c>
      <c r="P3" s="126">
        <f>1/COUNTIF(OB_Act[Dummy_Exc],OB_Act[[#This Row],[Dummy_Exc]])</f>
        <v>0.25</v>
      </c>
      <c r="Q3" s="105" t="str">
        <f>OB_Act[[#This Row],[Day]]&amp;OB_Act[[#This Row],[Dump Truck]]&amp;OB_Act[[#This Row],[Pit]]&amp;OB_Act[[#This Row],[Shift]]</f>
        <v>1SNS-SN543PIT M4EW1</v>
      </c>
      <c r="R3" s="126">
        <f>1/COUNTIF(OB_Act[Dummy_DT],OB_Act[[#This Row],[Dummy_DT]])</f>
        <v>1</v>
      </c>
      <c r="S3" s="126">
        <f>OB_Act[[#This Row],[Distance (Meter)]]*OB_Act[[#This Row],[Volume (BCM)]]</f>
        <v>441000</v>
      </c>
      <c r="T3" s="105" t="str">
        <f>OB_Act[[#This Row],[Day]]&amp;OB_Act[[#This Row],[Dump Truck]]&amp;OB_Act[[#This Row],[Contractor]]&amp;OB_Act[[#This Row],[Excavator]]&amp;OB_Act[[#This Row],[Shift]]</f>
        <v>1SNS-SN543SNSSNS-EX400-2251</v>
      </c>
      <c r="U3" s="126">
        <f>1/COUNTIF(OB_Act[Dummy_DT/Exc],OB_Act[[#This Row],[Dummy_DT/Exc]])</f>
        <v>1</v>
      </c>
      <c r="V3" s="126" t="str">
        <f>VLOOKUP(OB_Act[[#This Row],[Day]],$AO$2:$AR$32,4,0)</f>
        <v>Week I</v>
      </c>
      <c r="W3" s="126" t="e">
        <f>VLOOKUP(OB_Act[[#This Row],[Dump Area]],$AE$2:$AF$51,2,0)</f>
        <v>#N/A</v>
      </c>
      <c r="X3" s="126" t="str">
        <f>OB_Act[[#This Row],[Excavator]]&amp;OB_Act[[#This Row],[Contractor]]</f>
        <v>SNS-EX400-225SNS</v>
      </c>
      <c r="Y3" s="126" t="str">
        <f>IF(OB_Act[[#This Row],[Material]]="MUD",VLOOKUP(OB_Act[[#This Row],[Dump Truck]],Type_mud[[Nama DT]:[Type]],2,0),VLOOKUP(OB_Act[[#This Row],[Dump Truck]],Type_DT_OB[[Nama DT]:[Type]],4,0))</f>
        <v>SNS-HINO-30T</v>
      </c>
      <c r="Z3" s="126" t="str">
        <f>"JBG-OP1-CENTRAL-"&amp;VLOOKUP(OB_Act[[#This Row],[Pit]],$AK$2:$AL$9,2,0)&amp;"-WASTE-"&amp;OB_Act[[#This Row],[Material]]</f>
        <v>JBG-OP1-CENTRAL-M4EW-WASTE-TS</v>
      </c>
      <c r="AA3" s="126" t="e">
        <f>"JBG-DUMP1-"&amp;VLOOKUP(OB_Act[[#This Row],[Dump]],$AF$2:$AG$55,2,0)&amp;"-"&amp;OB_Act[[#This Row],[Material]]</f>
        <v>#N/A</v>
      </c>
      <c r="AB3" s="126" t="str">
        <f>"JBG-"&amp;OB_Act[[#This Row],[Material]]</f>
        <v>JBG-TS</v>
      </c>
      <c r="AE3" s="132" t="s">
        <v>581</v>
      </c>
      <c r="AF3" s="132" t="s">
        <v>581</v>
      </c>
      <c r="AG3" s="132" t="s">
        <v>582</v>
      </c>
      <c r="AK3" s="105" t="s">
        <v>374</v>
      </c>
      <c r="AL3" s="105" t="s">
        <v>160</v>
      </c>
      <c r="AO3" s="135">
        <f t="shared" ref="AO3:AO32" si="0">DAY(AP3)</f>
        <v>2</v>
      </c>
      <c r="AP3" s="138">
        <f>AP2+1</f>
        <v>46083</v>
      </c>
      <c r="AQ3" s="139" t="str">
        <f t="shared" ref="AQ3:AQ32" si="1">CHOOSE(WEEKDAY(AP3),"Sun","Mon","Tue","Wed","Thu","Fri","Sat")</f>
        <v>Mon</v>
      </c>
      <c r="AR3" s="135" t="s">
        <v>579</v>
      </c>
      <c r="AS3" s="134">
        <v>15</v>
      </c>
      <c r="AT3" s="134"/>
      <c r="AU3" s="134">
        <v>15</v>
      </c>
      <c r="AV3" s="125"/>
      <c r="BD3" s="105" t="str">
        <f>RIGHT(Type_DT_OB[[#This Row],[Nama DT]],3)</f>
        <v>512</v>
      </c>
      <c r="BE3" s="105" t="s">
        <v>386</v>
      </c>
      <c r="BF3" s="105">
        <v>14.5</v>
      </c>
      <c r="BG3" s="105">
        <v>9</v>
      </c>
      <c r="BH3" s="105" t="s">
        <v>384</v>
      </c>
      <c r="BI3" s="105" t="s">
        <v>385</v>
      </c>
      <c r="BK3" s="105" t="str">
        <f>RIGHT(Type_mud[[#This Row],[Nama DT]],3)</f>
        <v>512</v>
      </c>
      <c r="BL3" s="105" t="s">
        <v>386</v>
      </c>
      <c r="BM3" s="105" t="s">
        <v>580</v>
      </c>
    </row>
    <row r="4" spans="1:65" ht="14.4">
      <c r="A4" s="105">
        <v>1</v>
      </c>
      <c r="B4" s="125">
        <v>1</v>
      </c>
      <c r="C4" s="105" t="s">
        <v>733</v>
      </c>
      <c r="D4" s="105" t="s">
        <v>741</v>
      </c>
      <c r="E4" s="105" t="s">
        <v>729</v>
      </c>
      <c r="F4" s="105">
        <v>4</v>
      </c>
      <c r="G4" s="105">
        <v>10.5</v>
      </c>
      <c r="H4" s="105">
        <v>42</v>
      </c>
      <c r="I4" s="105" t="s">
        <v>109</v>
      </c>
      <c r="J4" s="105" t="s">
        <v>742</v>
      </c>
      <c r="K4" s="105">
        <v>3500</v>
      </c>
      <c r="L4" s="105" t="s">
        <v>730</v>
      </c>
      <c r="M4" s="105">
        <f>OB_Act[[#This Row],[Volume (BCM)]]*OB_Act[[#This Row],[Distance (Meter)]]</f>
        <v>147000</v>
      </c>
      <c r="N4" s="105" t="str">
        <f>LEFT(OB_Act[[#This Row],[Dump Truck]],3)</f>
        <v>SNS</v>
      </c>
      <c r="O4" s="126" t="str">
        <f>OB_Act[[#This Row],[Day]]&amp;OB_Act[[#This Row],[Excavator]]&amp;OB_Act[[#This Row],[Contractor]]&amp;OB_Act[[#This Row],[Pit]]&amp;OB_Act[[#This Row],[Shift]]</f>
        <v>1SNS-EX400-225SNSPIT M4EW1</v>
      </c>
      <c r="P4" s="126">
        <f>1/COUNTIF(OB_Act[Dummy_Exc],OB_Act[[#This Row],[Dummy_Exc]])</f>
        <v>0.25</v>
      </c>
      <c r="Q4" s="105" t="str">
        <f>OB_Act[[#This Row],[Day]]&amp;OB_Act[[#This Row],[Dump Truck]]&amp;OB_Act[[#This Row],[Pit]]&amp;OB_Act[[#This Row],[Shift]]</f>
        <v>1SNS-SN542PIT M4EW1</v>
      </c>
      <c r="R4" s="126">
        <f>1/COUNTIF(OB_Act[Dummy_DT],OB_Act[[#This Row],[Dummy_DT]])</f>
        <v>1</v>
      </c>
      <c r="S4" s="126">
        <f>OB_Act[[#This Row],[Distance (Meter)]]*OB_Act[[#This Row],[Volume (BCM)]]</f>
        <v>147000</v>
      </c>
      <c r="T4" s="105" t="str">
        <f>OB_Act[[#This Row],[Day]]&amp;OB_Act[[#This Row],[Dump Truck]]&amp;OB_Act[[#This Row],[Contractor]]&amp;OB_Act[[#This Row],[Excavator]]&amp;OB_Act[[#This Row],[Shift]]</f>
        <v>1SNS-SN542SNSSNS-EX400-2251</v>
      </c>
      <c r="U4" s="126">
        <f>1/COUNTIF(OB_Act[Dummy_DT/Exc],OB_Act[[#This Row],[Dummy_DT/Exc]])</f>
        <v>1</v>
      </c>
      <c r="V4" s="126" t="str">
        <f>VLOOKUP(OB_Act[[#This Row],[Day]],$AO$2:$AR$32,4,0)</f>
        <v>Week I</v>
      </c>
      <c r="W4" s="126" t="e">
        <f>VLOOKUP(OB_Act[[#This Row],[Dump Area]],$AE$2:$AF$51,2,0)</f>
        <v>#N/A</v>
      </c>
      <c r="X4" s="126" t="str">
        <f>OB_Act[[#This Row],[Excavator]]&amp;OB_Act[[#This Row],[Contractor]]</f>
        <v>SNS-EX400-225SNS</v>
      </c>
      <c r="Y4" s="126" t="str">
        <f>IF(OB_Act[[#This Row],[Material]]="MUD",VLOOKUP(OB_Act[[#This Row],[Dump Truck]],Type_mud[[Nama DT]:[Type]],2,0),VLOOKUP(OB_Act[[#This Row],[Dump Truck]],Type_DT_OB[[Nama DT]:[Type]],4,0))</f>
        <v>SNS-HINO-30T</v>
      </c>
      <c r="Z4" s="126" t="str">
        <f>"JBG-OP1-CENTRAL-"&amp;VLOOKUP(OB_Act[[#This Row],[Pit]],$AK$2:$AL$9,2,0)&amp;"-WASTE-"&amp;OB_Act[[#This Row],[Material]]</f>
        <v>JBG-OP1-CENTRAL-M4EW-WASTE-TS</v>
      </c>
      <c r="AA4" s="126" t="e">
        <f>"JBG-DUMP1-"&amp;VLOOKUP(OB_Act[[#This Row],[Dump]],$AF$2:$AG$55,2,0)&amp;"-"&amp;OB_Act[[#This Row],[Material]]</f>
        <v>#N/A</v>
      </c>
      <c r="AB4" s="126" t="str">
        <f>"JBG-"&amp;OB_Act[[#This Row],[Material]]</f>
        <v>JBG-TS</v>
      </c>
      <c r="AE4" s="132" t="s">
        <v>585</v>
      </c>
      <c r="AF4" s="132" t="s">
        <v>585</v>
      </c>
      <c r="AG4" s="132" t="s">
        <v>586</v>
      </c>
      <c r="AK4" s="105" t="s">
        <v>101</v>
      </c>
      <c r="AL4" s="105" t="s">
        <v>122</v>
      </c>
      <c r="AO4" s="135">
        <f t="shared" si="0"/>
        <v>3</v>
      </c>
      <c r="AP4" s="138">
        <f t="shared" ref="AP4:AP32" si="2">AP3+1</f>
        <v>46084</v>
      </c>
      <c r="AQ4" s="139" t="str">
        <f t="shared" si="1"/>
        <v>Tue</v>
      </c>
      <c r="AR4" s="135" t="s">
        <v>579</v>
      </c>
      <c r="AS4" s="134">
        <v>15</v>
      </c>
      <c r="AT4" s="134"/>
      <c r="AU4" s="134">
        <v>15</v>
      </c>
      <c r="AV4" s="125"/>
      <c r="BD4" s="105" t="str">
        <f>RIGHT(Type_DT_OB[[#This Row],[Nama DT]],3)</f>
        <v>513</v>
      </c>
      <c r="BE4" s="105" t="s">
        <v>387</v>
      </c>
      <c r="BF4" s="105">
        <v>14.5</v>
      </c>
      <c r="BG4" s="105">
        <v>9</v>
      </c>
      <c r="BH4" s="105" t="s">
        <v>384</v>
      </c>
      <c r="BI4" s="105" t="s">
        <v>385</v>
      </c>
      <c r="BK4" s="105" t="str">
        <f>RIGHT(Type_mud[[#This Row],[Nama DT]],3)</f>
        <v>513</v>
      </c>
      <c r="BL4" s="105" t="s">
        <v>387</v>
      </c>
      <c r="BM4" s="105" t="s">
        <v>580</v>
      </c>
    </row>
    <row r="5" spans="1:65" ht="14.4">
      <c r="A5" s="105">
        <v>1</v>
      </c>
      <c r="B5" s="125">
        <v>1</v>
      </c>
      <c r="C5" s="105" t="s">
        <v>416</v>
      </c>
      <c r="D5" s="105" t="s">
        <v>741</v>
      </c>
      <c r="E5" s="105" t="s">
        <v>729</v>
      </c>
      <c r="F5" s="105">
        <v>6</v>
      </c>
      <c r="G5" s="105">
        <v>13.5</v>
      </c>
      <c r="H5" s="105">
        <v>81</v>
      </c>
      <c r="I5" s="105" t="s">
        <v>109</v>
      </c>
      <c r="J5" s="105" t="s">
        <v>742</v>
      </c>
      <c r="K5" s="105">
        <v>3500</v>
      </c>
      <c r="L5" s="105" t="s">
        <v>730</v>
      </c>
      <c r="M5" s="105">
        <f>OB_Act[[#This Row],[Volume (BCM)]]*OB_Act[[#This Row],[Distance (Meter)]]</f>
        <v>283500</v>
      </c>
      <c r="N5" s="105" t="str">
        <f>LEFT(OB_Act[[#This Row],[Dump Truck]],3)</f>
        <v>SNS</v>
      </c>
      <c r="O5" s="126" t="str">
        <f>OB_Act[[#This Row],[Day]]&amp;OB_Act[[#This Row],[Excavator]]&amp;OB_Act[[#This Row],[Contractor]]&amp;OB_Act[[#This Row],[Pit]]&amp;OB_Act[[#This Row],[Shift]]</f>
        <v>1SNS-EX400-225SNSPIT M4EW1</v>
      </c>
      <c r="P5" s="126">
        <f>1/COUNTIF(OB_Act[Dummy_Exc],OB_Act[[#This Row],[Dummy_Exc]])</f>
        <v>0.25</v>
      </c>
      <c r="Q5" s="105" t="str">
        <f>OB_Act[[#This Row],[Day]]&amp;OB_Act[[#This Row],[Dump Truck]]&amp;OB_Act[[#This Row],[Pit]]&amp;OB_Act[[#This Row],[Shift]]</f>
        <v>1SNS-SN569PIT M4EW1</v>
      </c>
      <c r="R5" s="126">
        <f>1/COUNTIF(OB_Act[Dummy_DT],OB_Act[[#This Row],[Dummy_DT]])</f>
        <v>1</v>
      </c>
      <c r="S5" s="126">
        <f>OB_Act[[#This Row],[Distance (Meter)]]*OB_Act[[#This Row],[Volume (BCM)]]</f>
        <v>283500</v>
      </c>
      <c r="T5" s="105" t="str">
        <f>OB_Act[[#This Row],[Day]]&amp;OB_Act[[#This Row],[Dump Truck]]&amp;OB_Act[[#This Row],[Contractor]]&amp;OB_Act[[#This Row],[Excavator]]&amp;OB_Act[[#This Row],[Shift]]</f>
        <v>1SNS-SN569SNSSNS-EX400-2251</v>
      </c>
      <c r="U5" s="126">
        <f>1/COUNTIF(OB_Act[Dummy_DT/Exc],OB_Act[[#This Row],[Dummy_DT/Exc]])</f>
        <v>1</v>
      </c>
      <c r="V5" s="126" t="str">
        <f>VLOOKUP(OB_Act[[#This Row],[Day]],$AO$2:$AR$32,4,0)</f>
        <v>Week I</v>
      </c>
      <c r="W5" s="126" t="e">
        <f>VLOOKUP(OB_Act[[#This Row],[Dump Area]],$AE$2:$AF$51,2,0)</f>
        <v>#N/A</v>
      </c>
      <c r="X5" s="126" t="str">
        <f>OB_Act[[#This Row],[Excavator]]&amp;OB_Act[[#This Row],[Contractor]]</f>
        <v>SNS-EX400-225SNS</v>
      </c>
      <c r="Y5" s="126" t="str">
        <f>IF(OB_Act[[#This Row],[Material]]="MUD",VLOOKUP(OB_Act[[#This Row],[Dump Truck]],Type_mud[[Nama DT]:[Type]],2,0),VLOOKUP(OB_Act[[#This Row],[Dump Truck]],Type_DT_OB[[Nama DT]:[Type]],4,0))</f>
        <v>SNS-HINO-30T</v>
      </c>
      <c r="Z5" s="126" t="str">
        <f>"JBG-OP1-CENTRAL-"&amp;VLOOKUP(OB_Act[[#This Row],[Pit]],$AK$2:$AL$9,2,0)&amp;"-WASTE-"&amp;OB_Act[[#This Row],[Material]]</f>
        <v>JBG-OP1-CENTRAL-M4EW-WASTE-TS</v>
      </c>
      <c r="AA5" s="126" t="e">
        <f>"JBG-DUMP1-"&amp;VLOOKUP(OB_Act[[#This Row],[Dump]],$AF$2:$AG$55,2,0)&amp;"-"&amp;OB_Act[[#This Row],[Material]]</f>
        <v>#N/A</v>
      </c>
      <c r="AB5" s="126" t="str">
        <f>"JBG-"&amp;OB_Act[[#This Row],[Material]]</f>
        <v>JBG-TS</v>
      </c>
      <c r="AE5" s="132" t="s">
        <v>588</v>
      </c>
      <c r="AF5" s="132" t="s">
        <v>585</v>
      </c>
      <c r="AG5" s="132" t="s">
        <v>586</v>
      </c>
      <c r="AK5" s="130" t="s">
        <v>589</v>
      </c>
      <c r="AL5" s="105" t="s">
        <v>590</v>
      </c>
      <c r="AO5" s="135">
        <f t="shared" si="0"/>
        <v>4</v>
      </c>
      <c r="AP5" s="138">
        <f t="shared" si="2"/>
        <v>46085</v>
      </c>
      <c r="AQ5" s="139" t="str">
        <f t="shared" si="1"/>
        <v>Wed</v>
      </c>
      <c r="AR5" s="135" t="s">
        <v>579</v>
      </c>
      <c r="AS5" s="134">
        <v>15</v>
      </c>
      <c r="AT5" s="134"/>
      <c r="AU5" s="134">
        <v>15</v>
      </c>
      <c r="BD5" s="105" t="str">
        <f>RIGHT(Type_DT_OB[[#This Row],[Nama DT]],3)</f>
        <v>514</v>
      </c>
      <c r="BE5" s="105" t="s">
        <v>388</v>
      </c>
      <c r="BF5" s="105">
        <v>14.5</v>
      </c>
      <c r="BG5" s="105">
        <v>9</v>
      </c>
      <c r="BH5" s="105" t="s">
        <v>384</v>
      </c>
      <c r="BI5" s="105" t="s">
        <v>385</v>
      </c>
      <c r="BK5" s="105" t="str">
        <f>RIGHT(Type_mud[[#This Row],[Nama DT]],3)</f>
        <v>514</v>
      </c>
      <c r="BL5" s="105" t="s">
        <v>388</v>
      </c>
      <c r="BM5" s="105" t="s">
        <v>580</v>
      </c>
    </row>
    <row r="6" spans="1:65" ht="14.4">
      <c r="A6" s="105">
        <v>2</v>
      </c>
      <c r="B6" s="125">
        <v>1</v>
      </c>
      <c r="C6" s="105" t="s">
        <v>732</v>
      </c>
      <c r="D6" s="105" t="s">
        <v>745</v>
      </c>
      <c r="E6" s="105" t="s">
        <v>729</v>
      </c>
      <c r="F6" s="105">
        <v>2</v>
      </c>
      <c r="G6" s="105">
        <v>10.5</v>
      </c>
      <c r="H6" s="105">
        <v>21</v>
      </c>
      <c r="I6" s="105" t="s">
        <v>109</v>
      </c>
      <c r="J6" s="105" t="s">
        <v>742</v>
      </c>
      <c r="K6" s="105">
        <v>3500</v>
      </c>
      <c r="L6" s="105" t="s">
        <v>730</v>
      </c>
      <c r="M6" s="105">
        <f>OB_Act[[#This Row],[Volume (BCM)]]*OB_Act[[#This Row],[Distance (Meter)]]</f>
        <v>73500</v>
      </c>
      <c r="N6" s="105" t="str">
        <f>LEFT(OB_Act[[#This Row],[Dump Truck]],3)</f>
        <v>SNS</v>
      </c>
      <c r="O6" s="126" t="str">
        <f>OB_Act[[#This Row],[Day]]&amp;OB_Act[[#This Row],[Excavator]]&amp;OB_Act[[#This Row],[Contractor]]&amp;OB_Act[[#This Row],[Pit]]&amp;OB_Act[[#This Row],[Shift]]</f>
        <v>2SNS-EX520-242SNSPIT M4EW1</v>
      </c>
      <c r="P6" s="126">
        <f>1/COUNTIF(OB_Act[Dummy_Exc],OB_Act[[#This Row],[Dummy_Exc]])</f>
        <v>0.1111111111111111</v>
      </c>
      <c r="Q6" s="105" t="str">
        <f>OB_Act[[#This Row],[Day]]&amp;OB_Act[[#This Row],[Dump Truck]]&amp;OB_Act[[#This Row],[Pit]]&amp;OB_Act[[#This Row],[Shift]]</f>
        <v>2SNS-SN543PIT M4EW1</v>
      </c>
      <c r="R6" s="126">
        <f>1/COUNTIF(OB_Act[Dummy_DT],OB_Act[[#This Row],[Dummy_DT]])</f>
        <v>1</v>
      </c>
      <c r="S6" s="126">
        <f>OB_Act[[#This Row],[Distance (Meter)]]*OB_Act[[#This Row],[Volume (BCM)]]</f>
        <v>73500</v>
      </c>
      <c r="T6" s="105" t="str">
        <f>OB_Act[[#This Row],[Day]]&amp;OB_Act[[#This Row],[Dump Truck]]&amp;OB_Act[[#This Row],[Contractor]]&amp;OB_Act[[#This Row],[Excavator]]&amp;OB_Act[[#This Row],[Shift]]</f>
        <v>2SNS-SN543SNSSNS-EX520-2421</v>
      </c>
      <c r="U6" s="126">
        <f>1/COUNTIF(OB_Act[Dummy_DT/Exc],OB_Act[[#This Row],[Dummy_DT/Exc]])</f>
        <v>1</v>
      </c>
      <c r="V6" s="126" t="str">
        <f>VLOOKUP(OB_Act[[#This Row],[Day]],$AO$2:$AR$32,4,0)</f>
        <v>Week I</v>
      </c>
      <c r="W6" s="126" t="e">
        <f>VLOOKUP(OB_Act[[#This Row],[Dump Area]],$AE$2:$AF$51,2,0)</f>
        <v>#N/A</v>
      </c>
      <c r="X6" s="126" t="str">
        <f>OB_Act[[#This Row],[Excavator]]&amp;OB_Act[[#This Row],[Contractor]]</f>
        <v>SNS-EX520-242SNS</v>
      </c>
      <c r="Y6" s="126" t="str">
        <f>IF(OB_Act[[#This Row],[Material]]="MUD",VLOOKUP(OB_Act[[#This Row],[Dump Truck]],Type_mud[[Nama DT]:[Type]],2,0),VLOOKUP(OB_Act[[#This Row],[Dump Truck]],Type_DT_OB[[Nama DT]:[Type]],4,0))</f>
        <v>SNS-HINO-30T</v>
      </c>
      <c r="Z6" s="126" t="str">
        <f>"JBG-OP1-CENTRAL-"&amp;VLOOKUP(OB_Act[[#This Row],[Pit]],$AK$2:$AL$9,2,0)&amp;"-WASTE-"&amp;OB_Act[[#This Row],[Material]]</f>
        <v>JBG-OP1-CENTRAL-M4EW-WASTE-TS</v>
      </c>
      <c r="AA6" s="126" t="e">
        <f>"JBG-DUMP1-"&amp;VLOOKUP(OB_Act[[#This Row],[Dump]],$AF$2:$AG$55,2,0)&amp;"-"&amp;OB_Act[[#This Row],[Material]]</f>
        <v>#N/A</v>
      </c>
      <c r="AB6" s="126" t="str">
        <f>"JBG-"&amp;OB_Act[[#This Row],[Material]]</f>
        <v>JBG-TS</v>
      </c>
      <c r="AE6" s="132" t="s">
        <v>591</v>
      </c>
      <c r="AF6" s="132" t="s">
        <v>591</v>
      </c>
      <c r="AG6" s="132" t="s">
        <v>592</v>
      </c>
      <c r="AK6" s="130" t="s">
        <v>584</v>
      </c>
      <c r="AL6" s="105" t="s">
        <v>593</v>
      </c>
      <c r="AO6" s="135">
        <f t="shared" si="0"/>
        <v>5</v>
      </c>
      <c r="AP6" s="138">
        <f t="shared" si="2"/>
        <v>46086</v>
      </c>
      <c r="AQ6" s="139" t="str">
        <f t="shared" si="1"/>
        <v>Thu</v>
      </c>
      <c r="AR6" s="135" t="s">
        <v>579</v>
      </c>
      <c r="AS6" s="134">
        <v>15</v>
      </c>
      <c r="AT6" s="134"/>
      <c r="AU6" s="134">
        <v>15</v>
      </c>
      <c r="AV6" s="130"/>
      <c r="BD6" s="105" t="str">
        <f>RIGHT(Type_DT_OB[[#This Row],[Nama DT]],3)</f>
        <v>515</v>
      </c>
      <c r="BE6" s="105" t="s">
        <v>389</v>
      </c>
      <c r="BF6" s="105">
        <v>14.5</v>
      </c>
      <c r="BG6" s="105">
        <v>9</v>
      </c>
      <c r="BH6" s="105" t="s">
        <v>384</v>
      </c>
      <c r="BI6" s="105" t="s">
        <v>385</v>
      </c>
      <c r="BK6" s="105" t="str">
        <f>RIGHT(Type_mud[[#This Row],[Nama DT]],3)</f>
        <v>515</v>
      </c>
      <c r="BL6" s="105" t="s">
        <v>389</v>
      </c>
      <c r="BM6" s="105" t="s">
        <v>580</v>
      </c>
    </row>
    <row r="7" spans="1:65" ht="14.4">
      <c r="A7" s="105">
        <v>2</v>
      </c>
      <c r="B7" s="125">
        <v>1</v>
      </c>
      <c r="C7" s="105" t="s">
        <v>451</v>
      </c>
      <c r="D7" s="105" t="s">
        <v>745</v>
      </c>
      <c r="E7" s="105" t="s">
        <v>729</v>
      </c>
      <c r="F7" s="105">
        <v>15</v>
      </c>
      <c r="G7" s="105">
        <v>13.5</v>
      </c>
      <c r="H7" s="105">
        <v>202.5</v>
      </c>
      <c r="I7" s="105" t="s">
        <v>109</v>
      </c>
      <c r="J7" s="105" t="s">
        <v>742</v>
      </c>
      <c r="K7" s="105">
        <v>3500</v>
      </c>
      <c r="L7" s="105" t="s">
        <v>730</v>
      </c>
      <c r="M7" s="105">
        <f>OB_Act[[#This Row],[Volume (BCM)]]*OB_Act[[#This Row],[Distance (Meter)]]</f>
        <v>708750</v>
      </c>
      <c r="N7" s="105" t="str">
        <f>LEFT(OB_Act[[#This Row],[Dump Truck]],3)</f>
        <v>SNS</v>
      </c>
      <c r="O7" s="126" t="str">
        <f>OB_Act[[#This Row],[Day]]&amp;OB_Act[[#This Row],[Excavator]]&amp;OB_Act[[#This Row],[Contractor]]&amp;OB_Act[[#This Row],[Pit]]&amp;OB_Act[[#This Row],[Shift]]</f>
        <v>2SNS-EX520-242SNSPIT M4EW1</v>
      </c>
      <c r="P7" s="126">
        <f>1/COUNTIF(OB_Act[Dummy_Exc],OB_Act[[#This Row],[Dummy_Exc]])</f>
        <v>0.1111111111111111</v>
      </c>
      <c r="Q7" s="105" t="str">
        <f>OB_Act[[#This Row],[Day]]&amp;OB_Act[[#This Row],[Dump Truck]]&amp;OB_Act[[#This Row],[Pit]]&amp;OB_Act[[#This Row],[Shift]]</f>
        <v>2SNS-SN606PIT M4EW1</v>
      </c>
      <c r="R7" s="126">
        <f>1/COUNTIF(OB_Act[Dummy_DT],OB_Act[[#This Row],[Dummy_DT]])</f>
        <v>1</v>
      </c>
      <c r="S7" s="126">
        <f>OB_Act[[#This Row],[Distance (Meter)]]*OB_Act[[#This Row],[Volume (BCM)]]</f>
        <v>708750</v>
      </c>
      <c r="T7" s="105" t="str">
        <f>OB_Act[[#This Row],[Day]]&amp;OB_Act[[#This Row],[Dump Truck]]&amp;OB_Act[[#This Row],[Contractor]]&amp;OB_Act[[#This Row],[Excavator]]&amp;OB_Act[[#This Row],[Shift]]</f>
        <v>2SNS-SN606SNSSNS-EX520-2421</v>
      </c>
      <c r="U7" s="126">
        <f>1/COUNTIF(OB_Act[Dummy_DT/Exc],OB_Act[[#This Row],[Dummy_DT/Exc]])</f>
        <v>1</v>
      </c>
      <c r="V7" s="126" t="str">
        <f>VLOOKUP(OB_Act[[#This Row],[Day]],$AO$2:$AR$32,4,0)</f>
        <v>Week I</v>
      </c>
      <c r="W7" s="126" t="e">
        <f>VLOOKUP(OB_Act[[#This Row],[Dump Area]],$AE$2:$AF$51,2,0)</f>
        <v>#N/A</v>
      </c>
      <c r="X7" s="126" t="str">
        <f>OB_Act[[#This Row],[Excavator]]&amp;OB_Act[[#This Row],[Contractor]]</f>
        <v>SNS-EX520-242SNS</v>
      </c>
      <c r="Y7" s="126" t="str">
        <f>IF(OB_Act[[#This Row],[Material]]="MUD",VLOOKUP(OB_Act[[#This Row],[Dump Truck]],Type_mud[[Nama DT]:[Type]],2,0),VLOOKUP(OB_Act[[#This Row],[Dump Truck]],Type_DT_OB[[Nama DT]:[Type]],4,0))</f>
        <v>SNS-VOLVO-35T</v>
      </c>
      <c r="Z7" s="126" t="str">
        <f>"JBG-OP1-CENTRAL-"&amp;VLOOKUP(OB_Act[[#This Row],[Pit]],$AK$2:$AL$9,2,0)&amp;"-WASTE-"&amp;OB_Act[[#This Row],[Material]]</f>
        <v>JBG-OP1-CENTRAL-M4EW-WASTE-TS</v>
      </c>
      <c r="AA7" s="126" t="e">
        <f>"JBG-DUMP1-"&amp;VLOOKUP(OB_Act[[#This Row],[Dump]],$AF$2:$AG$55,2,0)&amp;"-"&amp;OB_Act[[#This Row],[Material]]</f>
        <v>#N/A</v>
      </c>
      <c r="AB7" s="126" t="str">
        <f>"JBG-"&amp;OB_Act[[#This Row],[Material]]</f>
        <v>JBG-TS</v>
      </c>
      <c r="AE7" s="132" t="s">
        <v>594</v>
      </c>
      <c r="AF7" s="132" t="s">
        <v>585</v>
      </c>
      <c r="AG7" s="132" t="s">
        <v>586</v>
      </c>
      <c r="AK7" s="130" t="s">
        <v>577</v>
      </c>
      <c r="AL7" s="105" t="s">
        <v>113</v>
      </c>
      <c r="AO7" s="135">
        <f t="shared" si="0"/>
        <v>6</v>
      </c>
      <c r="AP7" s="138">
        <f t="shared" si="2"/>
        <v>46087</v>
      </c>
      <c r="AQ7" s="139" t="str">
        <f t="shared" si="1"/>
        <v>Fri</v>
      </c>
      <c r="AR7" s="135" t="s">
        <v>579</v>
      </c>
      <c r="AS7" s="134">
        <v>15</v>
      </c>
      <c r="AT7" s="134"/>
      <c r="AU7" s="134">
        <v>15</v>
      </c>
      <c r="AV7" s="130"/>
      <c r="BD7" s="105" t="str">
        <f>RIGHT(Type_DT_OB[[#This Row],[Nama DT]],3)</f>
        <v>516</v>
      </c>
      <c r="BE7" s="105" t="s">
        <v>390</v>
      </c>
      <c r="BF7" s="105">
        <v>14.5</v>
      </c>
      <c r="BG7" s="105">
        <v>9</v>
      </c>
      <c r="BH7" s="105" t="s">
        <v>384</v>
      </c>
      <c r="BI7" s="105" t="s">
        <v>385</v>
      </c>
      <c r="BK7" s="105" t="str">
        <f>RIGHT(Type_mud[[#This Row],[Nama DT]],3)</f>
        <v>516</v>
      </c>
      <c r="BL7" s="105" t="s">
        <v>390</v>
      </c>
      <c r="BM7" s="105" t="s">
        <v>580</v>
      </c>
    </row>
    <row r="8" spans="1:65" ht="14.4">
      <c r="A8" s="105">
        <v>2</v>
      </c>
      <c r="B8" s="125">
        <v>1</v>
      </c>
      <c r="C8" s="105" t="s">
        <v>416</v>
      </c>
      <c r="D8" s="105" t="s">
        <v>745</v>
      </c>
      <c r="E8" s="105" t="s">
        <v>729</v>
      </c>
      <c r="F8" s="105">
        <v>11</v>
      </c>
      <c r="G8" s="105">
        <v>13.5</v>
      </c>
      <c r="H8" s="105">
        <v>148.5</v>
      </c>
      <c r="I8" s="105" t="s">
        <v>109</v>
      </c>
      <c r="J8" s="105" t="s">
        <v>742</v>
      </c>
      <c r="K8" s="105">
        <v>3500</v>
      </c>
      <c r="L8" s="105" t="s">
        <v>730</v>
      </c>
      <c r="M8" s="105">
        <f>OB_Act[[#This Row],[Volume (BCM)]]*OB_Act[[#This Row],[Distance (Meter)]]</f>
        <v>519750</v>
      </c>
      <c r="N8" s="105" t="str">
        <f>LEFT(OB_Act[[#This Row],[Dump Truck]],3)</f>
        <v>SNS</v>
      </c>
      <c r="O8" s="126" t="str">
        <f>OB_Act[[#This Row],[Day]]&amp;OB_Act[[#This Row],[Excavator]]&amp;OB_Act[[#This Row],[Contractor]]&amp;OB_Act[[#This Row],[Pit]]&amp;OB_Act[[#This Row],[Shift]]</f>
        <v>2SNS-EX520-242SNSPIT M4EW1</v>
      </c>
      <c r="P8" s="126">
        <f>1/COUNTIF(OB_Act[Dummy_Exc],OB_Act[[#This Row],[Dummy_Exc]])</f>
        <v>0.1111111111111111</v>
      </c>
      <c r="Q8" s="105" t="str">
        <f>OB_Act[[#This Row],[Day]]&amp;OB_Act[[#This Row],[Dump Truck]]&amp;OB_Act[[#This Row],[Pit]]&amp;OB_Act[[#This Row],[Shift]]</f>
        <v>2SNS-SN569PIT M4EW1</v>
      </c>
      <c r="R8" s="126">
        <f>1/COUNTIF(OB_Act[Dummy_DT],OB_Act[[#This Row],[Dummy_DT]])</f>
        <v>1</v>
      </c>
      <c r="S8" s="126">
        <f>OB_Act[[#This Row],[Distance (Meter)]]*OB_Act[[#This Row],[Volume (BCM)]]</f>
        <v>519750</v>
      </c>
      <c r="T8" s="105" t="str">
        <f>OB_Act[[#This Row],[Day]]&amp;OB_Act[[#This Row],[Dump Truck]]&amp;OB_Act[[#This Row],[Contractor]]&amp;OB_Act[[#This Row],[Excavator]]&amp;OB_Act[[#This Row],[Shift]]</f>
        <v>2SNS-SN569SNSSNS-EX520-2421</v>
      </c>
      <c r="U8" s="126">
        <f>1/COUNTIF(OB_Act[Dummy_DT/Exc],OB_Act[[#This Row],[Dummy_DT/Exc]])</f>
        <v>1</v>
      </c>
      <c r="V8" s="126" t="str">
        <f>VLOOKUP(OB_Act[[#This Row],[Day]],$AO$2:$AR$32,4,0)</f>
        <v>Week I</v>
      </c>
      <c r="W8" s="126" t="e">
        <f>VLOOKUP(OB_Act[[#This Row],[Dump Area]],$AE$2:$AF$51,2,0)</f>
        <v>#N/A</v>
      </c>
      <c r="X8" s="126" t="str">
        <f>OB_Act[[#This Row],[Excavator]]&amp;OB_Act[[#This Row],[Contractor]]</f>
        <v>SNS-EX520-242SNS</v>
      </c>
      <c r="Y8" s="126" t="str">
        <f>IF(OB_Act[[#This Row],[Material]]="MUD",VLOOKUP(OB_Act[[#This Row],[Dump Truck]],Type_mud[[Nama DT]:[Type]],2,0),VLOOKUP(OB_Act[[#This Row],[Dump Truck]],Type_DT_OB[[Nama DT]:[Type]],4,0))</f>
        <v>SNS-HINO-30T</v>
      </c>
      <c r="Z8" s="126" t="str">
        <f>"JBG-OP1-CENTRAL-"&amp;VLOOKUP(OB_Act[[#This Row],[Pit]],$AK$2:$AL$9,2,0)&amp;"-WASTE-"&amp;OB_Act[[#This Row],[Material]]</f>
        <v>JBG-OP1-CENTRAL-M4EW-WASTE-TS</v>
      </c>
      <c r="AA8" s="126" t="e">
        <f>"JBG-DUMP1-"&amp;VLOOKUP(OB_Act[[#This Row],[Dump]],$AF$2:$AG$55,2,0)&amp;"-"&amp;OB_Act[[#This Row],[Material]]</f>
        <v>#N/A</v>
      </c>
      <c r="AB8" s="126" t="str">
        <f>"JBG-"&amp;OB_Act[[#This Row],[Material]]</f>
        <v>JBG-TS</v>
      </c>
      <c r="AE8" s="132" t="s">
        <v>596</v>
      </c>
      <c r="AF8" s="132" t="s">
        <v>585</v>
      </c>
      <c r="AG8" s="132" t="s">
        <v>586</v>
      </c>
      <c r="AK8" s="105" t="s">
        <v>714</v>
      </c>
      <c r="AL8" s="105" t="s">
        <v>25</v>
      </c>
      <c r="AO8" s="135">
        <f t="shared" si="0"/>
        <v>7</v>
      </c>
      <c r="AP8" s="138">
        <f t="shared" si="2"/>
        <v>46088</v>
      </c>
      <c r="AQ8" s="139" t="str">
        <f t="shared" si="1"/>
        <v>Sat</v>
      </c>
      <c r="AR8" s="135" t="s">
        <v>579</v>
      </c>
      <c r="AS8" s="134">
        <v>15</v>
      </c>
      <c r="AT8" s="134"/>
      <c r="AU8" s="134">
        <v>15</v>
      </c>
      <c r="AV8" s="130"/>
      <c r="BD8" s="105" t="str">
        <f>RIGHT(Type_DT_OB[[#This Row],[Nama DT]],3)</f>
        <v>517</v>
      </c>
      <c r="BE8" s="105" t="s">
        <v>391</v>
      </c>
      <c r="BF8" s="105">
        <v>14.5</v>
      </c>
      <c r="BG8" s="105">
        <v>9</v>
      </c>
      <c r="BH8" s="105" t="s">
        <v>384</v>
      </c>
      <c r="BI8" s="105" t="s">
        <v>385</v>
      </c>
      <c r="BK8" s="105" t="str">
        <f>RIGHT(Type_mud[[#This Row],[Nama DT]],3)</f>
        <v>517</v>
      </c>
      <c r="BL8" s="105" t="s">
        <v>391</v>
      </c>
      <c r="BM8" s="105" t="s">
        <v>580</v>
      </c>
    </row>
    <row r="9" spans="1:65" ht="14.4">
      <c r="A9" s="105">
        <v>2</v>
      </c>
      <c r="B9" s="125">
        <v>1</v>
      </c>
      <c r="C9" s="105" t="s">
        <v>450</v>
      </c>
      <c r="D9" s="105" t="s">
        <v>745</v>
      </c>
      <c r="E9" s="105" t="s">
        <v>729</v>
      </c>
      <c r="F9" s="105">
        <v>3</v>
      </c>
      <c r="G9" s="105">
        <v>13.5</v>
      </c>
      <c r="H9" s="105">
        <v>40.5</v>
      </c>
      <c r="I9" s="105" t="s">
        <v>109</v>
      </c>
      <c r="J9" s="105" t="s">
        <v>742</v>
      </c>
      <c r="K9" s="105">
        <v>3500</v>
      </c>
      <c r="L9" s="105" t="s">
        <v>730</v>
      </c>
      <c r="M9" s="105">
        <f>OB_Act[[#This Row],[Volume (BCM)]]*OB_Act[[#This Row],[Distance (Meter)]]</f>
        <v>141750</v>
      </c>
      <c r="N9" s="105" t="str">
        <f>LEFT(OB_Act[[#This Row],[Dump Truck]],3)</f>
        <v>SNS</v>
      </c>
      <c r="O9" s="126" t="str">
        <f>OB_Act[[#This Row],[Day]]&amp;OB_Act[[#This Row],[Excavator]]&amp;OB_Act[[#This Row],[Contractor]]&amp;OB_Act[[#This Row],[Pit]]&amp;OB_Act[[#This Row],[Shift]]</f>
        <v>2SNS-EX520-242SNSPIT M4EW1</v>
      </c>
      <c r="P9" s="126">
        <f>1/COUNTIF(OB_Act[Dummy_Exc],OB_Act[[#This Row],[Dummy_Exc]])</f>
        <v>0.1111111111111111</v>
      </c>
      <c r="Q9" s="105" t="str">
        <f>OB_Act[[#This Row],[Day]]&amp;OB_Act[[#This Row],[Dump Truck]]&amp;OB_Act[[#This Row],[Pit]]&amp;OB_Act[[#This Row],[Shift]]</f>
        <v>2SNS-SN605PIT M4EW1</v>
      </c>
      <c r="R9" s="126">
        <f>1/COUNTIF(OB_Act[Dummy_DT],OB_Act[[#This Row],[Dummy_DT]])</f>
        <v>0.5</v>
      </c>
      <c r="S9" s="126">
        <f>OB_Act[[#This Row],[Distance (Meter)]]*OB_Act[[#This Row],[Volume (BCM)]]</f>
        <v>141750</v>
      </c>
      <c r="T9" s="105" t="str">
        <f>OB_Act[[#This Row],[Day]]&amp;OB_Act[[#This Row],[Dump Truck]]&amp;OB_Act[[#This Row],[Contractor]]&amp;OB_Act[[#This Row],[Excavator]]&amp;OB_Act[[#This Row],[Shift]]</f>
        <v>2SNS-SN605SNSSNS-EX520-2421</v>
      </c>
      <c r="U9" s="126">
        <f>1/COUNTIF(OB_Act[Dummy_DT/Exc],OB_Act[[#This Row],[Dummy_DT/Exc]])</f>
        <v>1</v>
      </c>
      <c r="V9" s="126" t="str">
        <f>VLOOKUP(OB_Act[[#This Row],[Day]],$AO$2:$AR$32,4,0)</f>
        <v>Week I</v>
      </c>
      <c r="W9" s="126" t="e">
        <f>VLOOKUP(OB_Act[[#This Row],[Dump Area]],$AE$2:$AF$51,2,0)</f>
        <v>#N/A</v>
      </c>
      <c r="X9" s="126" t="str">
        <f>OB_Act[[#This Row],[Excavator]]&amp;OB_Act[[#This Row],[Contractor]]</f>
        <v>SNS-EX520-242SNS</v>
      </c>
      <c r="Y9" s="126" t="str">
        <f>IF(OB_Act[[#This Row],[Material]]="MUD",VLOOKUP(OB_Act[[#This Row],[Dump Truck]],Type_mud[[Nama DT]:[Type]],2,0),VLOOKUP(OB_Act[[#This Row],[Dump Truck]],Type_DT_OB[[Nama DT]:[Type]],4,0))</f>
        <v>SNS-VOLVO-35T</v>
      </c>
      <c r="Z9" s="126" t="str">
        <f>"JBG-OP1-CENTRAL-"&amp;VLOOKUP(OB_Act[[#This Row],[Pit]],$AK$2:$AL$9,2,0)&amp;"-WASTE-"&amp;OB_Act[[#This Row],[Material]]</f>
        <v>JBG-OP1-CENTRAL-M4EW-WASTE-TS</v>
      </c>
      <c r="AA9" s="126" t="e">
        <f>"JBG-DUMP1-"&amp;VLOOKUP(OB_Act[[#This Row],[Dump]],$AF$2:$AG$55,2,0)&amp;"-"&amp;OB_Act[[#This Row],[Material]]</f>
        <v>#N/A</v>
      </c>
      <c r="AB9" s="126" t="str">
        <f>"JBG-"&amp;OB_Act[[#This Row],[Material]]</f>
        <v>JBG-TS</v>
      </c>
      <c r="AE9" s="105" t="s">
        <v>597</v>
      </c>
      <c r="AF9" s="132" t="s">
        <v>160</v>
      </c>
      <c r="AG9" s="132" t="s">
        <v>598</v>
      </c>
      <c r="AK9" s="105" t="s">
        <v>730</v>
      </c>
      <c r="AL9" s="105" t="s">
        <v>729</v>
      </c>
      <c r="AO9" s="135">
        <f t="shared" si="0"/>
        <v>8</v>
      </c>
      <c r="AP9" s="138">
        <f t="shared" si="2"/>
        <v>46089</v>
      </c>
      <c r="AQ9" s="139" t="str">
        <f t="shared" si="1"/>
        <v>Sun</v>
      </c>
      <c r="AR9" s="135" t="s">
        <v>579</v>
      </c>
      <c r="AS9" s="134">
        <v>15</v>
      </c>
      <c r="AT9" s="134"/>
      <c r="AU9" s="134">
        <v>15</v>
      </c>
      <c r="AV9" s="130"/>
      <c r="BD9" s="105" t="str">
        <f>RIGHT(Type_DT_OB[[#This Row],[Nama DT]],3)</f>
        <v>518</v>
      </c>
      <c r="BE9" s="105" t="s">
        <v>392</v>
      </c>
      <c r="BF9" s="105">
        <v>14.5</v>
      </c>
      <c r="BG9" s="105">
        <v>9</v>
      </c>
      <c r="BH9" s="105" t="s">
        <v>384</v>
      </c>
      <c r="BI9" s="105" t="s">
        <v>385</v>
      </c>
      <c r="BK9" s="105" t="str">
        <f>RIGHT(Type_mud[[#This Row],[Nama DT]],3)</f>
        <v>518</v>
      </c>
      <c r="BL9" s="105" t="s">
        <v>392</v>
      </c>
      <c r="BM9" s="105" t="s">
        <v>580</v>
      </c>
    </row>
    <row r="10" spans="1:65" ht="14.4">
      <c r="A10" s="105">
        <v>2</v>
      </c>
      <c r="B10" s="125">
        <v>1</v>
      </c>
      <c r="C10" s="105" t="s">
        <v>454</v>
      </c>
      <c r="D10" s="105" t="s">
        <v>745</v>
      </c>
      <c r="E10" s="105" t="s">
        <v>729</v>
      </c>
      <c r="F10" s="105">
        <v>9</v>
      </c>
      <c r="G10" s="105">
        <v>13.5</v>
      </c>
      <c r="H10" s="105">
        <v>121.5</v>
      </c>
      <c r="I10" s="105" t="s">
        <v>109</v>
      </c>
      <c r="J10" s="105" t="s">
        <v>742</v>
      </c>
      <c r="K10" s="105">
        <v>3500</v>
      </c>
      <c r="L10" s="105" t="s">
        <v>730</v>
      </c>
      <c r="M10" s="105">
        <f>OB_Act[[#This Row],[Volume (BCM)]]*OB_Act[[#This Row],[Distance (Meter)]]</f>
        <v>425250</v>
      </c>
      <c r="N10" s="105" t="str">
        <f>LEFT(OB_Act[[#This Row],[Dump Truck]],3)</f>
        <v>SNS</v>
      </c>
      <c r="O10" s="126" t="str">
        <f>OB_Act[[#This Row],[Day]]&amp;OB_Act[[#This Row],[Excavator]]&amp;OB_Act[[#This Row],[Contractor]]&amp;OB_Act[[#This Row],[Pit]]&amp;OB_Act[[#This Row],[Shift]]</f>
        <v>2SNS-EX520-242SNSPIT M4EW1</v>
      </c>
      <c r="P10" s="126">
        <f>1/COUNTIF(OB_Act[Dummy_Exc],OB_Act[[#This Row],[Dummy_Exc]])</f>
        <v>0.1111111111111111</v>
      </c>
      <c r="Q10" s="105" t="str">
        <f>OB_Act[[#This Row],[Day]]&amp;OB_Act[[#This Row],[Dump Truck]]&amp;OB_Act[[#This Row],[Pit]]&amp;OB_Act[[#This Row],[Shift]]</f>
        <v>2SNS-SN609PIT M4EW1</v>
      </c>
      <c r="R10" s="126">
        <f>1/COUNTIF(OB_Act[Dummy_DT],OB_Act[[#This Row],[Dummy_DT]])</f>
        <v>0.5</v>
      </c>
      <c r="S10" s="126">
        <f>OB_Act[[#This Row],[Distance (Meter)]]*OB_Act[[#This Row],[Volume (BCM)]]</f>
        <v>425250</v>
      </c>
      <c r="T10" s="105" t="str">
        <f>OB_Act[[#This Row],[Day]]&amp;OB_Act[[#This Row],[Dump Truck]]&amp;OB_Act[[#This Row],[Contractor]]&amp;OB_Act[[#This Row],[Excavator]]&amp;OB_Act[[#This Row],[Shift]]</f>
        <v>2SNS-SN609SNSSNS-EX520-2421</v>
      </c>
      <c r="U10" s="126">
        <f>1/COUNTIF(OB_Act[Dummy_DT/Exc],OB_Act[[#This Row],[Dummy_DT/Exc]])</f>
        <v>0.5</v>
      </c>
      <c r="V10" s="126" t="str">
        <f>VLOOKUP(OB_Act[[#This Row],[Day]],$AO$2:$AR$32,4,0)</f>
        <v>Week I</v>
      </c>
      <c r="W10" s="126" t="e">
        <f>VLOOKUP(OB_Act[[#This Row],[Dump Area]],$AE$2:$AF$51,2,0)</f>
        <v>#N/A</v>
      </c>
      <c r="X10" s="126" t="str">
        <f>OB_Act[[#This Row],[Excavator]]&amp;OB_Act[[#This Row],[Contractor]]</f>
        <v>SNS-EX520-242SNS</v>
      </c>
      <c r="Y10" s="126" t="str">
        <f>IF(OB_Act[[#This Row],[Material]]="MUD",VLOOKUP(OB_Act[[#This Row],[Dump Truck]],Type_mud[[Nama DT]:[Type]],2,0),VLOOKUP(OB_Act[[#This Row],[Dump Truck]],Type_DT_OB[[Nama DT]:[Type]],4,0))</f>
        <v>SNS-HINO-30T</v>
      </c>
      <c r="Z10" s="126" t="str">
        <f>"JBG-OP1-CENTRAL-"&amp;VLOOKUP(OB_Act[[#This Row],[Pit]],$AK$2:$AL$9,2,0)&amp;"-WASTE-"&amp;OB_Act[[#This Row],[Material]]</f>
        <v>JBG-OP1-CENTRAL-M4EW-WASTE-TS</v>
      </c>
      <c r="AA10" s="126" t="e">
        <f>"JBG-DUMP1-"&amp;VLOOKUP(OB_Act[[#This Row],[Dump]],$AF$2:$AG$55,2,0)&amp;"-"&amp;OB_Act[[#This Row],[Material]]</f>
        <v>#N/A</v>
      </c>
      <c r="AB10" s="126" t="str">
        <f>"JBG-"&amp;OB_Act[[#This Row],[Material]]</f>
        <v>JBG-TS</v>
      </c>
      <c r="AE10" s="105" t="s">
        <v>599</v>
      </c>
      <c r="AF10" s="105" t="s">
        <v>160</v>
      </c>
      <c r="AG10" s="105" t="s">
        <v>598</v>
      </c>
      <c r="AO10" s="135">
        <f t="shared" si="0"/>
        <v>9</v>
      </c>
      <c r="AP10" s="138">
        <f t="shared" si="2"/>
        <v>46090</v>
      </c>
      <c r="AQ10" s="139" t="str">
        <f t="shared" si="1"/>
        <v>Mon</v>
      </c>
      <c r="AR10" s="135" t="s">
        <v>595</v>
      </c>
      <c r="AS10" s="134">
        <v>15</v>
      </c>
      <c r="AT10" s="134"/>
      <c r="AU10" s="134">
        <v>15</v>
      </c>
      <c r="AV10" s="130"/>
      <c r="BD10" s="105" t="str">
        <f>RIGHT(Type_DT_OB[[#This Row],[Nama DT]],3)</f>
        <v>519</v>
      </c>
      <c r="BE10" s="105" t="s">
        <v>393</v>
      </c>
      <c r="BF10" s="105">
        <v>14.5</v>
      </c>
      <c r="BG10" s="105">
        <v>9</v>
      </c>
      <c r="BH10" s="105" t="s">
        <v>384</v>
      </c>
      <c r="BI10" s="105" t="s">
        <v>385</v>
      </c>
      <c r="BK10" s="105" t="str">
        <f>RIGHT(Type_mud[[#This Row],[Nama DT]],3)</f>
        <v>519</v>
      </c>
      <c r="BL10" s="105" t="s">
        <v>393</v>
      </c>
      <c r="BM10" s="105" t="s">
        <v>580</v>
      </c>
    </row>
    <row r="11" spans="1:65" ht="14.4">
      <c r="A11" s="105">
        <v>2</v>
      </c>
      <c r="B11" s="125">
        <v>1</v>
      </c>
      <c r="C11" s="105" t="s">
        <v>452</v>
      </c>
      <c r="D11" s="105" t="s">
        <v>745</v>
      </c>
      <c r="E11" s="105" t="s">
        <v>729</v>
      </c>
      <c r="F11" s="105">
        <v>9</v>
      </c>
      <c r="G11" s="105">
        <v>13.5</v>
      </c>
      <c r="H11" s="105">
        <v>121.5</v>
      </c>
      <c r="I11" s="105" t="s">
        <v>109</v>
      </c>
      <c r="J11" s="105" t="s">
        <v>742</v>
      </c>
      <c r="K11" s="105">
        <v>3500</v>
      </c>
      <c r="L11" s="105" t="s">
        <v>730</v>
      </c>
      <c r="M11" s="105">
        <f>OB_Act[[#This Row],[Volume (BCM)]]*OB_Act[[#This Row],[Distance (Meter)]]</f>
        <v>425250</v>
      </c>
      <c r="N11" s="105" t="str">
        <f>LEFT(OB_Act[[#This Row],[Dump Truck]],3)</f>
        <v>SNS</v>
      </c>
      <c r="O11" s="126" t="str">
        <f>OB_Act[[#This Row],[Day]]&amp;OB_Act[[#This Row],[Excavator]]&amp;OB_Act[[#This Row],[Contractor]]&amp;OB_Act[[#This Row],[Pit]]&amp;OB_Act[[#This Row],[Shift]]</f>
        <v>2SNS-EX520-242SNSPIT M4EW1</v>
      </c>
      <c r="P11" s="126">
        <f>1/COUNTIF(OB_Act[Dummy_Exc],OB_Act[[#This Row],[Dummy_Exc]])</f>
        <v>0.1111111111111111</v>
      </c>
      <c r="Q11" s="105" t="str">
        <f>OB_Act[[#This Row],[Day]]&amp;OB_Act[[#This Row],[Dump Truck]]&amp;OB_Act[[#This Row],[Pit]]&amp;OB_Act[[#This Row],[Shift]]</f>
        <v>2SNS-SN607PIT M4EW1</v>
      </c>
      <c r="R11" s="126">
        <f>1/COUNTIF(OB_Act[Dummy_DT],OB_Act[[#This Row],[Dummy_DT]])</f>
        <v>0.5</v>
      </c>
      <c r="S11" s="126">
        <f>OB_Act[[#This Row],[Distance (Meter)]]*OB_Act[[#This Row],[Volume (BCM)]]</f>
        <v>425250</v>
      </c>
      <c r="T11" s="105" t="str">
        <f>OB_Act[[#This Row],[Day]]&amp;OB_Act[[#This Row],[Dump Truck]]&amp;OB_Act[[#This Row],[Contractor]]&amp;OB_Act[[#This Row],[Excavator]]&amp;OB_Act[[#This Row],[Shift]]</f>
        <v>2SNS-SN607SNSSNS-EX520-2421</v>
      </c>
      <c r="U11" s="126">
        <f>1/COUNTIF(OB_Act[Dummy_DT/Exc],OB_Act[[#This Row],[Dummy_DT/Exc]])</f>
        <v>0.5</v>
      </c>
      <c r="V11" s="126" t="str">
        <f>VLOOKUP(OB_Act[[#This Row],[Day]],$AO$2:$AR$32,4,0)</f>
        <v>Week I</v>
      </c>
      <c r="W11" s="126" t="e">
        <f>VLOOKUP(OB_Act[[#This Row],[Dump Area]],$AE$2:$AF$51,2,0)</f>
        <v>#N/A</v>
      </c>
      <c r="X11" s="126" t="str">
        <f>OB_Act[[#This Row],[Excavator]]&amp;OB_Act[[#This Row],[Contractor]]</f>
        <v>SNS-EX520-242SNS</v>
      </c>
      <c r="Y11" s="126" t="str">
        <f>IF(OB_Act[[#This Row],[Material]]="MUD",VLOOKUP(OB_Act[[#This Row],[Dump Truck]],Type_mud[[Nama DT]:[Type]],2,0),VLOOKUP(OB_Act[[#This Row],[Dump Truck]],Type_DT_OB[[Nama DT]:[Type]],4,0))</f>
        <v>SNS-VOLVO-35T</v>
      </c>
      <c r="Z11" s="126" t="str">
        <f>"JBG-OP1-CENTRAL-"&amp;VLOOKUP(OB_Act[[#This Row],[Pit]],$AK$2:$AL$9,2,0)&amp;"-WASTE-"&amp;OB_Act[[#This Row],[Material]]</f>
        <v>JBG-OP1-CENTRAL-M4EW-WASTE-TS</v>
      </c>
      <c r="AA11" s="126" t="e">
        <f>"JBG-DUMP1-"&amp;VLOOKUP(OB_Act[[#This Row],[Dump]],$AF$2:$AG$55,2,0)&amp;"-"&amp;OB_Act[[#This Row],[Material]]</f>
        <v>#N/A</v>
      </c>
      <c r="AB11" s="126" t="str">
        <f>"JBG-"&amp;OB_Act[[#This Row],[Material]]</f>
        <v>JBG-TS</v>
      </c>
      <c r="AE11" s="105" t="s">
        <v>600</v>
      </c>
      <c r="AF11" s="132" t="s">
        <v>591</v>
      </c>
      <c r="AG11" s="132" t="s">
        <v>592</v>
      </c>
      <c r="AO11" s="135">
        <f t="shared" si="0"/>
        <v>10</v>
      </c>
      <c r="AP11" s="138">
        <f t="shared" si="2"/>
        <v>46091</v>
      </c>
      <c r="AQ11" s="139" t="str">
        <f t="shared" si="1"/>
        <v>Tue</v>
      </c>
      <c r="AR11" s="135" t="s">
        <v>595</v>
      </c>
      <c r="AS11" s="134">
        <v>15</v>
      </c>
      <c r="AT11" s="134"/>
      <c r="AU11" s="134">
        <v>15</v>
      </c>
      <c r="AV11" s="130"/>
      <c r="BD11" s="105" t="str">
        <f>RIGHT(Type_DT_OB[[#This Row],[Nama DT]],3)</f>
        <v>520</v>
      </c>
      <c r="BE11" s="105" t="s">
        <v>394</v>
      </c>
      <c r="BF11" s="105">
        <v>14.5</v>
      </c>
      <c r="BG11" s="105">
        <v>9</v>
      </c>
      <c r="BH11" s="105" t="s">
        <v>384</v>
      </c>
      <c r="BI11" s="105" t="s">
        <v>385</v>
      </c>
      <c r="BK11" s="105" t="str">
        <f>RIGHT(Type_mud[[#This Row],[Nama DT]],3)</f>
        <v>520</v>
      </c>
      <c r="BL11" s="105" t="s">
        <v>394</v>
      </c>
      <c r="BM11" s="105" t="s">
        <v>580</v>
      </c>
    </row>
    <row r="12" spans="1:65" ht="14.4">
      <c r="A12" s="105">
        <v>2</v>
      </c>
      <c r="B12" s="125">
        <v>1</v>
      </c>
      <c r="C12" s="105" t="s">
        <v>448</v>
      </c>
      <c r="D12" s="105" t="s">
        <v>746</v>
      </c>
      <c r="E12" s="105" t="s">
        <v>729</v>
      </c>
      <c r="F12" s="105">
        <v>11</v>
      </c>
      <c r="G12" s="105">
        <v>13.5</v>
      </c>
      <c r="H12" s="105">
        <v>148.5</v>
      </c>
      <c r="I12" s="105" t="s">
        <v>106</v>
      </c>
      <c r="J12" s="105" t="s">
        <v>729</v>
      </c>
      <c r="K12" s="105">
        <v>800</v>
      </c>
      <c r="L12" s="105" t="s">
        <v>730</v>
      </c>
      <c r="M12" s="105">
        <f>OB_Act[[#This Row],[Volume (BCM)]]*OB_Act[[#This Row],[Distance (Meter)]]</f>
        <v>118800</v>
      </c>
      <c r="N12" s="105" t="str">
        <f>LEFT(OB_Act[[#This Row],[Dump Truck]],3)</f>
        <v>SNS</v>
      </c>
      <c r="O12" s="126" t="str">
        <f>OB_Act[[#This Row],[Day]]&amp;OB_Act[[#This Row],[Excavator]]&amp;OB_Act[[#This Row],[Contractor]]&amp;OB_Act[[#This Row],[Pit]]&amp;OB_Act[[#This Row],[Shift]]</f>
        <v>2SNS-EX520-240SNSPIT M4EW1</v>
      </c>
      <c r="P12" s="126">
        <f>1/COUNTIF(OB_Act[Dummy_Exc],OB_Act[[#This Row],[Dummy_Exc]])</f>
        <v>0.25</v>
      </c>
      <c r="Q12" s="105" t="str">
        <f>OB_Act[[#This Row],[Day]]&amp;OB_Act[[#This Row],[Dump Truck]]&amp;OB_Act[[#This Row],[Pit]]&amp;OB_Act[[#This Row],[Shift]]</f>
        <v>2SNS-SN603PIT M4EW1</v>
      </c>
      <c r="R12" s="126">
        <f>1/COUNTIF(OB_Act[Dummy_DT],OB_Act[[#This Row],[Dummy_DT]])</f>
        <v>1</v>
      </c>
      <c r="S12" s="126">
        <f>OB_Act[[#This Row],[Distance (Meter)]]*OB_Act[[#This Row],[Volume (BCM)]]</f>
        <v>118800</v>
      </c>
      <c r="T12" s="105" t="str">
        <f>OB_Act[[#This Row],[Day]]&amp;OB_Act[[#This Row],[Dump Truck]]&amp;OB_Act[[#This Row],[Contractor]]&amp;OB_Act[[#This Row],[Excavator]]&amp;OB_Act[[#This Row],[Shift]]</f>
        <v>2SNS-SN603SNSSNS-EX520-2401</v>
      </c>
      <c r="U12" s="126">
        <f>1/COUNTIF(OB_Act[Dummy_DT/Exc],OB_Act[[#This Row],[Dummy_DT/Exc]])</f>
        <v>1</v>
      </c>
      <c r="V12" s="126" t="str">
        <f>VLOOKUP(OB_Act[[#This Row],[Day]],$AO$2:$AR$32,4,0)</f>
        <v>Week I</v>
      </c>
      <c r="W12" s="126" t="str">
        <f>VLOOKUP(OB_Act[[#This Row],[Dump Area]],$AE$2:$AF$51,2,0)</f>
        <v>M4EW</v>
      </c>
      <c r="X12" s="126" t="str">
        <f>OB_Act[[#This Row],[Excavator]]&amp;OB_Act[[#This Row],[Contractor]]</f>
        <v>SNS-EX520-240SNS</v>
      </c>
      <c r="Y12" s="126" t="str">
        <f>IF(OB_Act[[#This Row],[Material]]="MUD",VLOOKUP(OB_Act[[#This Row],[Dump Truck]],Type_mud[[Nama DT]:[Type]],2,0),VLOOKUP(OB_Act[[#This Row],[Dump Truck]],Type_DT_OB[[Nama DT]:[Type]],4,0))</f>
        <v>SNS-VOLVO-35T</v>
      </c>
      <c r="Z12" s="126" t="str">
        <f>"JBG-OP1-CENTRAL-"&amp;VLOOKUP(OB_Act[[#This Row],[Pit]],$AK$2:$AL$9,2,0)&amp;"-WASTE-"&amp;OB_Act[[#This Row],[Material]]</f>
        <v>JBG-OP1-CENTRAL-M4EW-WASTE-OB-PAF</v>
      </c>
      <c r="AA12" s="126" t="str">
        <f>"JBG-DUMP1-"&amp;VLOOKUP(OB_Act[[#This Row],[Dump]],$AF$2:$AG$55,2,0)&amp;"-"&amp;OB_Act[[#This Row],[Material]]</f>
        <v>JBG-DUMP1-INPIT-M4EW-OB-PAF</v>
      </c>
      <c r="AB12" s="126" t="str">
        <f>"JBG-"&amp;OB_Act[[#This Row],[Material]]</f>
        <v>JBG-OB-PAF</v>
      </c>
      <c r="AE12" s="105" t="s">
        <v>601</v>
      </c>
      <c r="AF12" s="105" t="s">
        <v>602</v>
      </c>
      <c r="AG12" s="105" t="s">
        <v>603</v>
      </c>
      <c r="AO12" s="135">
        <f t="shared" si="0"/>
        <v>11</v>
      </c>
      <c r="AP12" s="138">
        <f t="shared" si="2"/>
        <v>46092</v>
      </c>
      <c r="AQ12" s="139" t="str">
        <f t="shared" si="1"/>
        <v>Wed</v>
      </c>
      <c r="AR12" s="135" t="s">
        <v>595</v>
      </c>
      <c r="AS12" s="134">
        <v>15</v>
      </c>
      <c r="AT12" s="134"/>
      <c r="AU12" s="134">
        <v>15</v>
      </c>
      <c r="AV12" s="130"/>
      <c r="BD12" s="105" t="str">
        <f>RIGHT(Type_DT_OB[[#This Row],[Nama DT]],3)</f>
        <v>524</v>
      </c>
      <c r="BE12" s="105" t="s">
        <v>395</v>
      </c>
      <c r="BF12" s="105">
        <v>14.5</v>
      </c>
      <c r="BG12" s="105">
        <v>9</v>
      </c>
      <c r="BH12" s="105" t="s">
        <v>384</v>
      </c>
      <c r="BI12" s="105" t="s">
        <v>385</v>
      </c>
      <c r="BK12" s="105" t="str">
        <f>RIGHT(Type_mud[[#This Row],[Nama DT]],3)</f>
        <v>524</v>
      </c>
      <c r="BL12" s="105" t="s">
        <v>395</v>
      </c>
      <c r="BM12" s="105" t="s">
        <v>580</v>
      </c>
    </row>
    <row r="13" spans="1:65" ht="14.4">
      <c r="A13" s="105">
        <v>2</v>
      </c>
      <c r="B13" s="125">
        <v>1</v>
      </c>
      <c r="C13" s="105" t="s">
        <v>453</v>
      </c>
      <c r="D13" s="105" t="s">
        <v>746</v>
      </c>
      <c r="E13" s="105" t="s">
        <v>729</v>
      </c>
      <c r="F13" s="105">
        <v>11</v>
      </c>
      <c r="G13" s="105">
        <v>13.5</v>
      </c>
      <c r="H13" s="105">
        <v>148.5</v>
      </c>
      <c r="I13" s="105" t="s">
        <v>106</v>
      </c>
      <c r="J13" s="105" t="s">
        <v>729</v>
      </c>
      <c r="K13" s="105">
        <v>800</v>
      </c>
      <c r="L13" s="105" t="s">
        <v>730</v>
      </c>
      <c r="M13" s="105">
        <f>OB_Act[[#This Row],[Volume (BCM)]]*OB_Act[[#This Row],[Distance (Meter)]]</f>
        <v>118800</v>
      </c>
      <c r="N13" s="105" t="str">
        <f>LEFT(OB_Act[[#This Row],[Dump Truck]],3)</f>
        <v>SNS</v>
      </c>
      <c r="O13" s="126" t="str">
        <f>OB_Act[[#This Row],[Day]]&amp;OB_Act[[#This Row],[Excavator]]&amp;OB_Act[[#This Row],[Contractor]]&amp;OB_Act[[#This Row],[Pit]]&amp;OB_Act[[#This Row],[Shift]]</f>
        <v>2SNS-EX520-240SNSPIT M4EW1</v>
      </c>
      <c r="P13" s="126">
        <f>1/COUNTIF(OB_Act[Dummy_Exc],OB_Act[[#This Row],[Dummy_Exc]])</f>
        <v>0.25</v>
      </c>
      <c r="Q13" s="105" t="str">
        <f>OB_Act[[#This Row],[Day]]&amp;OB_Act[[#This Row],[Dump Truck]]&amp;OB_Act[[#This Row],[Pit]]&amp;OB_Act[[#This Row],[Shift]]</f>
        <v>2SNS-SN608PIT M4EW1</v>
      </c>
      <c r="R13" s="126">
        <f>1/COUNTIF(OB_Act[Dummy_DT],OB_Act[[#This Row],[Dummy_DT]])</f>
        <v>1</v>
      </c>
      <c r="S13" s="126">
        <f>OB_Act[[#This Row],[Distance (Meter)]]*OB_Act[[#This Row],[Volume (BCM)]]</f>
        <v>118800</v>
      </c>
      <c r="T13" s="105" t="str">
        <f>OB_Act[[#This Row],[Day]]&amp;OB_Act[[#This Row],[Dump Truck]]&amp;OB_Act[[#This Row],[Contractor]]&amp;OB_Act[[#This Row],[Excavator]]&amp;OB_Act[[#This Row],[Shift]]</f>
        <v>2SNS-SN608SNSSNS-EX520-2401</v>
      </c>
      <c r="U13" s="126">
        <f>1/COUNTIF(OB_Act[Dummy_DT/Exc],OB_Act[[#This Row],[Dummy_DT/Exc]])</f>
        <v>1</v>
      </c>
      <c r="V13" s="126" t="str">
        <f>VLOOKUP(OB_Act[[#This Row],[Day]],$AO$2:$AR$32,4,0)</f>
        <v>Week I</v>
      </c>
      <c r="W13" s="126" t="str">
        <f>VLOOKUP(OB_Act[[#This Row],[Dump Area]],$AE$2:$AF$51,2,0)</f>
        <v>M4EW</v>
      </c>
      <c r="X13" s="126" t="str">
        <f>OB_Act[[#This Row],[Excavator]]&amp;OB_Act[[#This Row],[Contractor]]</f>
        <v>SNS-EX520-240SNS</v>
      </c>
      <c r="Y13" s="126" t="str">
        <f>IF(OB_Act[[#This Row],[Material]]="MUD",VLOOKUP(OB_Act[[#This Row],[Dump Truck]],Type_mud[[Nama DT]:[Type]],2,0),VLOOKUP(OB_Act[[#This Row],[Dump Truck]],Type_DT_OB[[Nama DT]:[Type]],4,0))</f>
        <v>SNS-HINO-30T</v>
      </c>
      <c r="Z13" s="126" t="str">
        <f>"JBG-OP1-CENTRAL-"&amp;VLOOKUP(OB_Act[[#This Row],[Pit]],$AK$2:$AL$9,2,0)&amp;"-WASTE-"&amp;OB_Act[[#This Row],[Material]]</f>
        <v>JBG-OP1-CENTRAL-M4EW-WASTE-OB-PAF</v>
      </c>
      <c r="AA13" s="126" t="str">
        <f>"JBG-DUMP1-"&amp;VLOOKUP(OB_Act[[#This Row],[Dump]],$AF$2:$AG$55,2,0)&amp;"-"&amp;OB_Act[[#This Row],[Material]]</f>
        <v>JBG-DUMP1-INPIT-M4EW-OB-PAF</v>
      </c>
      <c r="AB13" s="126" t="str">
        <f>"JBG-"&amp;OB_Act[[#This Row],[Material]]</f>
        <v>JBG-OB-PAF</v>
      </c>
      <c r="AE13" s="105" t="s">
        <v>604</v>
      </c>
      <c r="AF13" s="105" t="s">
        <v>602</v>
      </c>
      <c r="AG13" s="105" t="s">
        <v>603</v>
      </c>
      <c r="AO13" s="135">
        <f t="shared" si="0"/>
        <v>12</v>
      </c>
      <c r="AP13" s="138">
        <f t="shared" si="2"/>
        <v>46093</v>
      </c>
      <c r="AQ13" s="139" t="str">
        <f t="shared" si="1"/>
        <v>Thu</v>
      </c>
      <c r="AR13" s="135" t="s">
        <v>595</v>
      </c>
      <c r="AS13" s="134">
        <v>15</v>
      </c>
      <c r="AT13" s="134"/>
      <c r="AU13" s="134">
        <v>15</v>
      </c>
      <c r="AV13" s="130"/>
      <c r="BD13" s="105" t="str">
        <f>RIGHT(Type_DT_OB[[#This Row],[Nama DT]],3)</f>
        <v>525</v>
      </c>
      <c r="BE13" s="105" t="s">
        <v>396</v>
      </c>
      <c r="BF13" s="105">
        <v>14.5</v>
      </c>
      <c r="BG13" s="105">
        <v>9</v>
      </c>
      <c r="BH13" s="105" t="s">
        <v>384</v>
      </c>
      <c r="BI13" s="105" t="s">
        <v>385</v>
      </c>
      <c r="BK13" s="105" t="str">
        <f>RIGHT(Type_mud[[#This Row],[Nama DT]],3)</f>
        <v>525</v>
      </c>
      <c r="BL13" s="105" t="s">
        <v>396</v>
      </c>
      <c r="BM13" s="105" t="s">
        <v>580</v>
      </c>
    </row>
    <row r="14" spans="1:65" ht="14.4">
      <c r="A14" s="105">
        <v>2</v>
      </c>
      <c r="B14" s="125">
        <v>1</v>
      </c>
      <c r="C14" s="105" t="s">
        <v>429</v>
      </c>
      <c r="D14" s="105" t="s">
        <v>746</v>
      </c>
      <c r="E14" s="105" t="s">
        <v>729</v>
      </c>
      <c r="F14" s="105">
        <v>10</v>
      </c>
      <c r="G14" s="105">
        <v>13.5</v>
      </c>
      <c r="H14" s="105">
        <v>135</v>
      </c>
      <c r="I14" s="105" t="s">
        <v>106</v>
      </c>
      <c r="J14" s="105" t="s">
        <v>729</v>
      </c>
      <c r="K14" s="105">
        <v>800</v>
      </c>
      <c r="L14" s="105" t="s">
        <v>730</v>
      </c>
      <c r="M14" s="105">
        <f>OB_Act[[#This Row],[Volume (BCM)]]*OB_Act[[#This Row],[Distance (Meter)]]</f>
        <v>108000</v>
      </c>
      <c r="N14" s="105" t="str">
        <f>LEFT(OB_Act[[#This Row],[Dump Truck]],3)</f>
        <v>SNS</v>
      </c>
      <c r="O14" s="126" t="str">
        <f>OB_Act[[#This Row],[Day]]&amp;OB_Act[[#This Row],[Excavator]]&amp;OB_Act[[#This Row],[Contractor]]&amp;OB_Act[[#This Row],[Pit]]&amp;OB_Act[[#This Row],[Shift]]</f>
        <v>2SNS-EX520-240SNSPIT M4EW1</v>
      </c>
      <c r="P14" s="126">
        <f>1/COUNTIF(OB_Act[Dummy_Exc],OB_Act[[#This Row],[Dummy_Exc]])</f>
        <v>0.25</v>
      </c>
      <c r="Q14" s="105" t="str">
        <f>OB_Act[[#This Row],[Day]]&amp;OB_Act[[#This Row],[Dump Truck]]&amp;OB_Act[[#This Row],[Pit]]&amp;OB_Act[[#This Row],[Shift]]</f>
        <v>2SNS-SN582PIT M4EW1</v>
      </c>
      <c r="R14" s="126">
        <f>1/COUNTIF(OB_Act[Dummy_DT],OB_Act[[#This Row],[Dummy_DT]])</f>
        <v>1</v>
      </c>
      <c r="S14" s="126">
        <f>OB_Act[[#This Row],[Distance (Meter)]]*OB_Act[[#This Row],[Volume (BCM)]]</f>
        <v>108000</v>
      </c>
      <c r="T14" s="105" t="str">
        <f>OB_Act[[#This Row],[Day]]&amp;OB_Act[[#This Row],[Dump Truck]]&amp;OB_Act[[#This Row],[Contractor]]&amp;OB_Act[[#This Row],[Excavator]]&amp;OB_Act[[#This Row],[Shift]]</f>
        <v>2SNS-SN582SNSSNS-EX520-2401</v>
      </c>
      <c r="U14" s="126">
        <f>1/COUNTIF(OB_Act[Dummy_DT/Exc],OB_Act[[#This Row],[Dummy_DT/Exc]])</f>
        <v>1</v>
      </c>
      <c r="V14" s="126" t="str">
        <f>VLOOKUP(OB_Act[[#This Row],[Day]],$AO$2:$AR$32,4,0)</f>
        <v>Week I</v>
      </c>
      <c r="W14" s="126" t="str">
        <f>VLOOKUP(OB_Act[[#This Row],[Dump Area]],$AE$2:$AF$51,2,0)</f>
        <v>M4EW</v>
      </c>
      <c r="X14" s="126" t="str">
        <f>OB_Act[[#This Row],[Excavator]]&amp;OB_Act[[#This Row],[Contractor]]</f>
        <v>SNS-EX520-240SNS</v>
      </c>
      <c r="Y14" s="126" t="str">
        <f>IF(OB_Act[[#This Row],[Material]]="MUD",VLOOKUP(OB_Act[[#This Row],[Dump Truck]],Type_mud[[Nama DT]:[Type]],2,0),VLOOKUP(OB_Act[[#This Row],[Dump Truck]],Type_DT_OB[[Nama DT]:[Type]],4,0))</f>
        <v>SNS-HINO-30T</v>
      </c>
      <c r="Z14" s="126" t="str">
        <f>"JBG-OP1-CENTRAL-"&amp;VLOOKUP(OB_Act[[#This Row],[Pit]],$AK$2:$AL$9,2,0)&amp;"-WASTE-"&amp;OB_Act[[#This Row],[Material]]</f>
        <v>JBG-OP1-CENTRAL-M4EW-WASTE-OB-PAF</v>
      </c>
      <c r="AA14" s="126" t="str">
        <f>"JBG-DUMP1-"&amp;VLOOKUP(OB_Act[[#This Row],[Dump]],$AF$2:$AG$55,2,0)&amp;"-"&amp;OB_Act[[#This Row],[Material]]</f>
        <v>JBG-DUMP1-INPIT-M4EW-OB-PAF</v>
      </c>
      <c r="AB14" s="126" t="str">
        <f>"JBG-"&amp;OB_Act[[#This Row],[Material]]</f>
        <v>JBG-OB-PAF</v>
      </c>
      <c r="AE14" s="105" t="s">
        <v>597</v>
      </c>
      <c r="AF14" s="105" t="s">
        <v>160</v>
      </c>
      <c r="AG14" s="105" t="s">
        <v>598</v>
      </c>
      <c r="AO14" s="135">
        <f t="shared" si="0"/>
        <v>13</v>
      </c>
      <c r="AP14" s="138">
        <f t="shared" si="2"/>
        <v>46094</v>
      </c>
      <c r="AQ14" s="139" t="str">
        <f t="shared" si="1"/>
        <v>Fri</v>
      </c>
      <c r="AR14" s="135" t="s">
        <v>595</v>
      </c>
      <c r="AS14" s="134">
        <v>15</v>
      </c>
      <c r="AT14" s="134"/>
      <c r="AU14" s="134">
        <v>15</v>
      </c>
      <c r="AV14" s="130"/>
      <c r="BD14" s="105" t="str">
        <f>RIGHT(Type_DT_OB[[#This Row],[Nama DT]],3)</f>
        <v>543</v>
      </c>
      <c r="BE14" s="105" t="s">
        <v>732</v>
      </c>
      <c r="BF14" s="105">
        <v>14.5</v>
      </c>
      <c r="BG14" s="105">
        <v>9</v>
      </c>
      <c r="BH14" s="105" t="s">
        <v>384</v>
      </c>
      <c r="BI14" s="105" t="s">
        <v>385</v>
      </c>
      <c r="BK14" s="105" t="str">
        <f>RIGHT(Type_mud[[#This Row],[Nama DT]],3)</f>
        <v>526</v>
      </c>
      <c r="BL14" s="105" t="s">
        <v>397</v>
      </c>
      <c r="BM14" s="105" t="s">
        <v>580</v>
      </c>
    </row>
    <row r="15" spans="1:65" ht="14.4">
      <c r="A15" s="105">
        <v>2</v>
      </c>
      <c r="B15" s="125">
        <v>1</v>
      </c>
      <c r="C15" s="105" t="s">
        <v>450</v>
      </c>
      <c r="D15" s="105" t="s">
        <v>746</v>
      </c>
      <c r="E15" s="105" t="s">
        <v>729</v>
      </c>
      <c r="F15" s="105">
        <v>6</v>
      </c>
      <c r="G15" s="105">
        <v>13.5</v>
      </c>
      <c r="H15" s="105">
        <v>81</v>
      </c>
      <c r="I15" s="105" t="s">
        <v>106</v>
      </c>
      <c r="J15" s="105" t="s">
        <v>729</v>
      </c>
      <c r="K15" s="105">
        <v>800</v>
      </c>
      <c r="L15" s="105" t="s">
        <v>730</v>
      </c>
      <c r="M15" s="105">
        <f>OB_Act[[#This Row],[Volume (BCM)]]*OB_Act[[#This Row],[Distance (Meter)]]</f>
        <v>64800</v>
      </c>
      <c r="N15" s="105" t="str">
        <f>LEFT(OB_Act[[#This Row],[Dump Truck]],3)</f>
        <v>SNS</v>
      </c>
      <c r="O15" s="126" t="str">
        <f>OB_Act[[#This Row],[Day]]&amp;OB_Act[[#This Row],[Excavator]]&amp;OB_Act[[#This Row],[Contractor]]&amp;OB_Act[[#This Row],[Pit]]&amp;OB_Act[[#This Row],[Shift]]</f>
        <v>2SNS-EX520-240SNSPIT M4EW1</v>
      </c>
      <c r="P15" s="126">
        <f>1/COUNTIF(OB_Act[Dummy_Exc],OB_Act[[#This Row],[Dummy_Exc]])</f>
        <v>0.25</v>
      </c>
      <c r="Q15" s="105" t="str">
        <f>OB_Act[[#This Row],[Day]]&amp;OB_Act[[#This Row],[Dump Truck]]&amp;OB_Act[[#This Row],[Pit]]&amp;OB_Act[[#This Row],[Shift]]</f>
        <v>2SNS-SN605PIT M4EW1</v>
      </c>
      <c r="R15" s="126">
        <f>1/COUNTIF(OB_Act[Dummy_DT],OB_Act[[#This Row],[Dummy_DT]])</f>
        <v>0.5</v>
      </c>
      <c r="S15" s="126">
        <f>OB_Act[[#This Row],[Distance (Meter)]]*OB_Act[[#This Row],[Volume (BCM)]]</f>
        <v>64800</v>
      </c>
      <c r="T15" s="105" t="str">
        <f>OB_Act[[#This Row],[Day]]&amp;OB_Act[[#This Row],[Dump Truck]]&amp;OB_Act[[#This Row],[Contractor]]&amp;OB_Act[[#This Row],[Excavator]]&amp;OB_Act[[#This Row],[Shift]]</f>
        <v>2SNS-SN605SNSSNS-EX520-2401</v>
      </c>
      <c r="U15" s="126">
        <f>1/COUNTIF(OB_Act[Dummy_DT/Exc],OB_Act[[#This Row],[Dummy_DT/Exc]])</f>
        <v>1</v>
      </c>
      <c r="V15" s="126" t="str">
        <f>VLOOKUP(OB_Act[[#This Row],[Day]],$AO$2:$AR$32,4,0)</f>
        <v>Week I</v>
      </c>
      <c r="W15" s="126" t="str">
        <f>VLOOKUP(OB_Act[[#This Row],[Dump Area]],$AE$2:$AF$51,2,0)</f>
        <v>M4EW</v>
      </c>
      <c r="X15" s="126" t="str">
        <f>OB_Act[[#This Row],[Excavator]]&amp;OB_Act[[#This Row],[Contractor]]</f>
        <v>SNS-EX520-240SNS</v>
      </c>
      <c r="Y15" s="126" t="str">
        <f>IF(OB_Act[[#This Row],[Material]]="MUD",VLOOKUP(OB_Act[[#This Row],[Dump Truck]],Type_mud[[Nama DT]:[Type]],2,0),VLOOKUP(OB_Act[[#This Row],[Dump Truck]],Type_DT_OB[[Nama DT]:[Type]],4,0))</f>
        <v>SNS-VOLVO-35T</v>
      </c>
      <c r="Z15" s="126" t="str">
        <f>"JBG-OP1-CENTRAL-"&amp;VLOOKUP(OB_Act[[#This Row],[Pit]],$AK$2:$AL$9,2,0)&amp;"-WASTE-"&amp;OB_Act[[#This Row],[Material]]</f>
        <v>JBG-OP1-CENTRAL-M4EW-WASTE-OB-PAF</v>
      </c>
      <c r="AA15" s="126" t="str">
        <f>"JBG-DUMP1-"&amp;VLOOKUP(OB_Act[[#This Row],[Dump]],$AF$2:$AG$55,2,0)&amp;"-"&amp;OB_Act[[#This Row],[Material]]</f>
        <v>JBG-DUMP1-INPIT-M4EW-OB-PAF</v>
      </c>
      <c r="AB15" s="126" t="str">
        <f>"JBG-"&amp;OB_Act[[#This Row],[Material]]</f>
        <v>JBG-OB-PAF</v>
      </c>
      <c r="AE15" s="105" t="s">
        <v>606</v>
      </c>
      <c r="AF15" s="105" t="s">
        <v>160</v>
      </c>
      <c r="AG15" s="105" t="s">
        <v>598</v>
      </c>
      <c r="AO15" s="135">
        <f t="shared" si="0"/>
        <v>14</v>
      </c>
      <c r="AP15" s="138">
        <f t="shared" si="2"/>
        <v>46095</v>
      </c>
      <c r="AQ15" s="139" t="str">
        <f t="shared" si="1"/>
        <v>Sat</v>
      </c>
      <c r="AR15" s="135" t="s">
        <v>595</v>
      </c>
      <c r="AS15" s="134">
        <v>15</v>
      </c>
      <c r="AT15" s="134"/>
      <c r="AU15" s="134">
        <v>15</v>
      </c>
      <c r="AV15" s="130"/>
      <c r="BD15" s="105" t="str">
        <f>RIGHT(Type_DT_OB[[#This Row],[Nama DT]],3)</f>
        <v>530</v>
      </c>
      <c r="BE15" s="105" t="s">
        <v>398</v>
      </c>
      <c r="BF15" s="105">
        <v>14.5</v>
      </c>
      <c r="BG15" s="105">
        <v>9</v>
      </c>
      <c r="BH15" s="105" t="s">
        <v>384</v>
      </c>
      <c r="BI15" s="105" t="s">
        <v>385</v>
      </c>
      <c r="BK15" s="105" t="str">
        <f>RIGHT(Type_mud[[#This Row],[Nama DT]],3)</f>
        <v>530</v>
      </c>
      <c r="BL15" s="105" t="s">
        <v>398</v>
      </c>
      <c r="BM15" s="105" t="s">
        <v>580</v>
      </c>
    </row>
    <row r="16" spans="1:65" ht="14.4">
      <c r="A16" s="105">
        <v>2</v>
      </c>
      <c r="B16" s="125">
        <v>1</v>
      </c>
      <c r="C16" s="105" t="s">
        <v>747</v>
      </c>
      <c r="D16" s="105" t="s">
        <v>745</v>
      </c>
      <c r="E16" s="105" t="s">
        <v>729</v>
      </c>
      <c r="F16" s="105">
        <v>3</v>
      </c>
      <c r="G16" s="105">
        <v>10.5</v>
      </c>
      <c r="H16" s="105">
        <v>31.5</v>
      </c>
      <c r="I16" s="105" t="s">
        <v>109</v>
      </c>
      <c r="J16" s="105" t="s">
        <v>587</v>
      </c>
      <c r="K16" s="105">
        <v>2000</v>
      </c>
      <c r="L16" s="105" t="s">
        <v>730</v>
      </c>
      <c r="M16" s="105">
        <f>OB_Act[[#This Row],[Volume (BCM)]]*OB_Act[[#This Row],[Distance (Meter)]]</f>
        <v>63000</v>
      </c>
      <c r="N16" s="105" t="str">
        <f>LEFT(OB_Act[[#This Row],[Dump Truck]],3)</f>
        <v>SNS</v>
      </c>
      <c r="O16" s="126" t="str">
        <f>OB_Act[[#This Row],[Day]]&amp;OB_Act[[#This Row],[Excavator]]&amp;OB_Act[[#This Row],[Contractor]]&amp;OB_Act[[#This Row],[Pit]]&amp;OB_Act[[#This Row],[Shift]]</f>
        <v>2SNS-EX520-242SNSPIT M4EW1</v>
      </c>
      <c r="P16" s="126">
        <f>1/COUNTIF(OB_Act[Dummy_Exc],OB_Act[[#This Row],[Dummy_Exc]])</f>
        <v>0.1111111111111111</v>
      </c>
      <c r="Q16" s="105" t="str">
        <f>OB_Act[[#This Row],[Day]]&amp;OB_Act[[#This Row],[Dump Truck]]&amp;OB_Act[[#This Row],[Pit]]&amp;OB_Act[[#This Row],[Shift]]</f>
        <v>2SNS-SN544PIT M4EW1</v>
      </c>
      <c r="R16" s="126">
        <f>1/COUNTIF(OB_Act[Dummy_DT],OB_Act[[#This Row],[Dummy_DT]])</f>
        <v>1</v>
      </c>
      <c r="S16" s="126">
        <f>OB_Act[[#This Row],[Distance (Meter)]]*OB_Act[[#This Row],[Volume (BCM)]]</f>
        <v>63000</v>
      </c>
      <c r="T16" s="105" t="str">
        <f>OB_Act[[#This Row],[Day]]&amp;OB_Act[[#This Row],[Dump Truck]]&amp;OB_Act[[#This Row],[Contractor]]&amp;OB_Act[[#This Row],[Excavator]]&amp;OB_Act[[#This Row],[Shift]]</f>
        <v>2SNS-SN544SNSSNS-EX520-2421</v>
      </c>
      <c r="U16" s="126">
        <f>1/COUNTIF(OB_Act[Dummy_DT/Exc],OB_Act[[#This Row],[Dummy_DT/Exc]])</f>
        <v>1</v>
      </c>
      <c r="V16" s="126" t="str">
        <f>VLOOKUP(OB_Act[[#This Row],[Day]],$AO$2:$AR$32,4,0)</f>
        <v>Week I</v>
      </c>
      <c r="W16" s="126" t="str">
        <f>VLOOKUP(OB_Act[[#This Row],[Dump Area]],$AE$2:$AF$51,2,0)</f>
        <v>M45C</v>
      </c>
      <c r="X16" s="126" t="str">
        <f>OB_Act[[#This Row],[Excavator]]&amp;OB_Act[[#This Row],[Contractor]]</f>
        <v>SNS-EX520-242SNS</v>
      </c>
      <c r="Y16" s="126" t="e">
        <f>IF(OB_Act[[#This Row],[Material]]="MUD",VLOOKUP(OB_Act[[#This Row],[Dump Truck]],Type_mud[[Nama DT]:[Type]],2,0),VLOOKUP(OB_Act[[#This Row],[Dump Truck]],Type_DT_OB[[Nama DT]:[Type]],4,0))</f>
        <v>#N/A</v>
      </c>
      <c r="Z16" s="126" t="str">
        <f>"JBG-OP1-CENTRAL-"&amp;VLOOKUP(OB_Act[[#This Row],[Pit]],$AK$2:$AL$9,2,0)&amp;"-WASTE-"&amp;OB_Act[[#This Row],[Material]]</f>
        <v>JBG-OP1-CENTRAL-M4EW-WASTE-TS</v>
      </c>
      <c r="AA16" s="126" t="str">
        <f>"JBG-DUMP1-"&amp;VLOOKUP(OB_Act[[#This Row],[Dump]],$AF$2:$AG$55,2,0)&amp;"-"&amp;OB_Act[[#This Row],[Material]]</f>
        <v>JBG-DUMP1-INPIT-M45C-TS</v>
      </c>
      <c r="AB16" s="126" t="str">
        <f>"JBG-"&amp;OB_Act[[#This Row],[Material]]</f>
        <v>JBG-TS</v>
      </c>
      <c r="AE16" s="105" t="s">
        <v>607</v>
      </c>
      <c r="AF16" s="105" t="s">
        <v>608</v>
      </c>
      <c r="AG16" s="105" t="s">
        <v>609</v>
      </c>
      <c r="AO16" s="135">
        <f t="shared" si="0"/>
        <v>15</v>
      </c>
      <c r="AP16" s="138">
        <f t="shared" si="2"/>
        <v>46096</v>
      </c>
      <c r="AQ16" s="139" t="str">
        <f t="shared" si="1"/>
        <v>Sun</v>
      </c>
      <c r="AR16" s="135" t="s">
        <v>595</v>
      </c>
      <c r="AS16" s="134">
        <v>15</v>
      </c>
      <c r="AT16" s="134"/>
      <c r="AU16" s="134">
        <v>15</v>
      </c>
      <c r="AV16" s="130"/>
      <c r="BD16" s="105" t="str">
        <f>RIGHT(Type_DT_OB[[#This Row],[Nama DT]],3)</f>
        <v>531</v>
      </c>
      <c r="BE16" s="105" t="s">
        <v>399</v>
      </c>
      <c r="BF16" s="105">
        <v>14.5</v>
      </c>
      <c r="BG16" s="105">
        <v>9</v>
      </c>
      <c r="BH16" s="105" t="s">
        <v>384</v>
      </c>
      <c r="BI16" s="105" t="s">
        <v>385</v>
      </c>
      <c r="BK16" s="105" t="str">
        <f>RIGHT(Type_mud[[#This Row],[Nama DT]],3)</f>
        <v>531</v>
      </c>
      <c r="BL16" s="105" t="s">
        <v>399</v>
      </c>
      <c r="BM16" s="105" t="s">
        <v>580</v>
      </c>
    </row>
    <row r="17" spans="1:65" ht="14.4">
      <c r="A17" s="105">
        <v>2</v>
      </c>
      <c r="B17" s="125">
        <v>1</v>
      </c>
      <c r="C17" s="105" t="s">
        <v>454</v>
      </c>
      <c r="D17" s="105" t="s">
        <v>745</v>
      </c>
      <c r="E17" s="105" t="s">
        <v>729</v>
      </c>
      <c r="F17" s="105">
        <v>8</v>
      </c>
      <c r="G17" s="105">
        <v>13.5</v>
      </c>
      <c r="H17" s="105">
        <v>108</v>
      </c>
      <c r="I17" s="105" t="s">
        <v>109</v>
      </c>
      <c r="J17" s="105" t="s">
        <v>587</v>
      </c>
      <c r="K17" s="105">
        <v>2000</v>
      </c>
      <c r="L17" s="105" t="s">
        <v>730</v>
      </c>
      <c r="M17" s="105">
        <f>OB_Act[[#This Row],[Volume (BCM)]]*OB_Act[[#This Row],[Distance (Meter)]]</f>
        <v>216000</v>
      </c>
      <c r="N17" s="105" t="str">
        <f>LEFT(OB_Act[[#This Row],[Dump Truck]],3)</f>
        <v>SNS</v>
      </c>
      <c r="O17" s="126" t="str">
        <f>OB_Act[[#This Row],[Day]]&amp;OB_Act[[#This Row],[Excavator]]&amp;OB_Act[[#This Row],[Contractor]]&amp;OB_Act[[#This Row],[Pit]]&amp;OB_Act[[#This Row],[Shift]]</f>
        <v>2SNS-EX520-242SNSPIT M4EW1</v>
      </c>
      <c r="P17" s="126">
        <f>1/COUNTIF(OB_Act[Dummy_Exc],OB_Act[[#This Row],[Dummy_Exc]])</f>
        <v>0.1111111111111111</v>
      </c>
      <c r="Q17" s="105" t="str">
        <f>OB_Act[[#This Row],[Day]]&amp;OB_Act[[#This Row],[Dump Truck]]&amp;OB_Act[[#This Row],[Pit]]&amp;OB_Act[[#This Row],[Shift]]</f>
        <v>2SNS-SN609PIT M4EW1</v>
      </c>
      <c r="R17" s="126">
        <f>1/COUNTIF(OB_Act[Dummy_DT],OB_Act[[#This Row],[Dummy_DT]])</f>
        <v>0.5</v>
      </c>
      <c r="S17" s="126">
        <f>OB_Act[[#This Row],[Distance (Meter)]]*OB_Act[[#This Row],[Volume (BCM)]]</f>
        <v>216000</v>
      </c>
      <c r="T17" s="105" t="str">
        <f>OB_Act[[#This Row],[Day]]&amp;OB_Act[[#This Row],[Dump Truck]]&amp;OB_Act[[#This Row],[Contractor]]&amp;OB_Act[[#This Row],[Excavator]]&amp;OB_Act[[#This Row],[Shift]]</f>
        <v>2SNS-SN609SNSSNS-EX520-2421</v>
      </c>
      <c r="U17" s="126">
        <f>1/COUNTIF(OB_Act[Dummy_DT/Exc],OB_Act[[#This Row],[Dummy_DT/Exc]])</f>
        <v>0.5</v>
      </c>
      <c r="V17" s="126" t="str">
        <f>VLOOKUP(OB_Act[[#This Row],[Day]],$AO$2:$AR$32,4,0)</f>
        <v>Week I</v>
      </c>
      <c r="W17" s="126" t="str">
        <f>VLOOKUP(OB_Act[[#This Row],[Dump Area]],$AE$2:$AF$51,2,0)</f>
        <v>M45C</v>
      </c>
      <c r="X17" s="126" t="str">
        <f>OB_Act[[#This Row],[Excavator]]&amp;OB_Act[[#This Row],[Contractor]]</f>
        <v>SNS-EX520-242SNS</v>
      </c>
      <c r="Y17" s="126" t="str">
        <f>IF(OB_Act[[#This Row],[Material]]="MUD",VLOOKUP(OB_Act[[#This Row],[Dump Truck]],Type_mud[[Nama DT]:[Type]],2,0),VLOOKUP(OB_Act[[#This Row],[Dump Truck]],Type_DT_OB[[Nama DT]:[Type]],4,0))</f>
        <v>SNS-HINO-30T</v>
      </c>
      <c r="Z17" s="126" t="str">
        <f>"JBG-OP1-CENTRAL-"&amp;VLOOKUP(OB_Act[[#This Row],[Pit]],$AK$2:$AL$9,2,0)&amp;"-WASTE-"&amp;OB_Act[[#This Row],[Material]]</f>
        <v>JBG-OP1-CENTRAL-M4EW-WASTE-TS</v>
      </c>
      <c r="AA17" s="126" t="str">
        <f>"JBG-DUMP1-"&amp;VLOOKUP(OB_Act[[#This Row],[Dump]],$AF$2:$AG$55,2,0)&amp;"-"&amp;OB_Act[[#This Row],[Material]]</f>
        <v>JBG-DUMP1-INPIT-M45C-TS</v>
      </c>
      <c r="AB17" s="126" t="str">
        <f>"JBG-"&amp;OB_Act[[#This Row],[Material]]</f>
        <v>JBG-TS</v>
      </c>
      <c r="AE17" s="105" t="s">
        <v>610</v>
      </c>
      <c r="AF17" s="105" t="s">
        <v>608</v>
      </c>
      <c r="AG17" s="105" t="s">
        <v>609</v>
      </c>
      <c r="AO17" s="135">
        <f t="shared" si="0"/>
        <v>16</v>
      </c>
      <c r="AP17" s="138">
        <f t="shared" si="2"/>
        <v>46097</v>
      </c>
      <c r="AQ17" s="139" t="str">
        <f t="shared" si="1"/>
        <v>Mon</v>
      </c>
      <c r="AR17" s="135" t="s">
        <v>605</v>
      </c>
      <c r="AS17" s="134">
        <v>15</v>
      </c>
      <c r="AT17" s="134"/>
      <c r="AU17" s="134">
        <v>15</v>
      </c>
      <c r="AV17" s="130"/>
      <c r="BD17" s="105" t="str">
        <f>RIGHT(Type_DT_OB[[#This Row],[Nama DT]],3)</f>
        <v>532</v>
      </c>
      <c r="BE17" s="105" t="s">
        <v>400</v>
      </c>
      <c r="BF17" s="105">
        <v>14.5</v>
      </c>
      <c r="BG17" s="105">
        <v>9</v>
      </c>
      <c r="BH17" s="105" t="s">
        <v>384</v>
      </c>
      <c r="BI17" s="105" t="s">
        <v>385</v>
      </c>
      <c r="BK17" s="105" t="str">
        <f>RIGHT(Type_mud[[#This Row],[Nama DT]],3)</f>
        <v>532</v>
      </c>
      <c r="BL17" s="105" t="s">
        <v>400</v>
      </c>
      <c r="BM17" s="105" t="s">
        <v>580</v>
      </c>
    </row>
    <row r="18" spans="1:65" ht="14.4">
      <c r="A18" s="105">
        <v>2</v>
      </c>
      <c r="B18" s="125">
        <v>1</v>
      </c>
      <c r="C18" s="105" t="s">
        <v>452</v>
      </c>
      <c r="D18" s="105" t="s">
        <v>745</v>
      </c>
      <c r="E18" s="105" t="s">
        <v>729</v>
      </c>
      <c r="F18" s="105">
        <v>9</v>
      </c>
      <c r="G18" s="105">
        <v>13.5</v>
      </c>
      <c r="H18" s="105">
        <v>121.5</v>
      </c>
      <c r="I18" s="105" t="s">
        <v>109</v>
      </c>
      <c r="J18" s="105" t="s">
        <v>587</v>
      </c>
      <c r="K18" s="105">
        <v>2000</v>
      </c>
      <c r="L18" s="105" t="s">
        <v>730</v>
      </c>
      <c r="M18" s="105">
        <f>OB_Act[[#This Row],[Volume (BCM)]]*OB_Act[[#This Row],[Distance (Meter)]]</f>
        <v>243000</v>
      </c>
      <c r="N18" s="105" t="str">
        <f>LEFT(OB_Act[[#This Row],[Dump Truck]],3)</f>
        <v>SNS</v>
      </c>
      <c r="O18" s="126" t="str">
        <f>OB_Act[[#This Row],[Day]]&amp;OB_Act[[#This Row],[Excavator]]&amp;OB_Act[[#This Row],[Contractor]]&amp;OB_Act[[#This Row],[Pit]]&amp;OB_Act[[#This Row],[Shift]]</f>
        <v>2SNS-EX520-242SNSPIT M4EW1</v>
      </c>
      <c r="P18" s="126">
        <f>1/COUNTIF(OB_Act[Dummy_Exc],OB_Act[[#This Row],[Dummy_Exc]])</f>
        <v>0.1111111111111111</v>
      </c>
      <c r="Q18" s="105" t="str">
        <f>OB_Act[[#This Row],[Day]]&amp;OB_Act[[#This Row],[Dump Truck]]&amp;OB_Act[[#This Row],[Pit]]&amp;OB_Act[[#This Row],[Shift]]</f>
        <v>2SNS-SN607PIT M4EW1</v>
      </c>
      <c r="R18" s="126">
        <f>1/COUNTIF(OB_Act[Dummy_DT],OB_Act[[#This Row],[Dummy_DT]])</f>
        <v>0.5</v>
      </c>
      <c r="S18" s="126">
        <f>OB_Act[[#This Row],[Distance (Meter)]]*OB_Act[[#This Row],[Volume (BCM)]]</f>
        <v>243000</v>
      </c>
      <c r="T18" s="105" t="str">
        <f>OB_Act[[#This Row],[Day]]&amp;OB_Act[[#This Row],[Dump Truck]]&amp;OB_Act[[#This Row],[Contractor]]&amp;OB_Act[[#This Row],[Excavator]]&amp;OB_Act[[#This Row],[Shift]]</f>
        <v>2SNS-SN607SNSSNS-EX520-2421</v>
      </c>
      <c r="U18" s="126">
        <f>1/COUNTIF(OB_Act[Dummy_DT/Exc],OB_Act[[#This Row],[Dummy_DT/Exc]])</f>
        <v>0.5</v>
      </c>
      <c r="V18" s="126" t="str">
        <f>VLOOKUP(OB_Act[[#This Row],[Day]],$AO$2:$AR$32,4,0)</f>
        <v>Week I</v>
      </c>
      <c r="W18" s="126" t="str">
        <f>VLOOKUP(OB_Act[[#This Row],[Dump Area]],$AE$2:$AF$51,2,0)</f>
        <v>M45C</v>
      </c>
      <c r="X18" s="126" t="str">
        <f>OB_Act[[#This Row],[Excavator]]&amp;OB_Act[[#This Row],[Contractor]]</f>
        <v>SNS-EX520-242SNS</v>
      </c>
      <c r="Y18" s="126" t="str">
        <f>IF(OB_Act[[#This Row],[Material]]="MUD",VLOOKUP(OB_Act[[#This Row],[Dump Truck]],Type_mud[[Nama DT]:[Type]],2,0),VLOOKUP(OB_Act[[#This Row],[Dump Truck]],Type_DT_OB[[Nama DT]:[Type]],4,0))</f>
        <v>SNS-VOLVO-35T</v>
      </c>
      <c r="Z18" s="126" t="str">
        <f>"JBG-OP1-CENTRAL-"&amp;VLOOKUP(OB_Act[[#This Row],[Pit]],$AK$2:$AL$9,2,0)&amp;"-WASTE-"&amp;OB_Act[[#This Row],[Material]]</f>
        <v>JBG-OP1-CENTRAL-M4EW-WASTE-TS</v>
      </c>
      <c r="AA18" s="126" t="str">
        <f>"JBG-DUMP1-"&amp;VLOOKUP(OB_Act[[#This Row],[Dump]],$AF$2:$AG$55,2,0)&amp;"-"&amp;OB_Act[[#This Row],[Material]]</f>
        <v>JBG-DUMP1-INPIT-M45C-TS</v>
      </c>
      <c r="AB18" s="126" t="str">
        <f>"JBG-"&amp;OB_Act[[#This Row],[Material]]</f>
        <v>JBG-TS</v>
      </c>
      <c r="AE18" s="105" t="s">
        <v>611</v>
      </c>
      <c r="AF18" s="105" t="s">
        <v>602</v>
      </c>
      <c r="AG18" s="105" t="s">
        <v>603</v>
      </c>
      <c r="AI18" s="105" t="s">
        <v>597</v>
      </c>
      <c r="AO18" s="135">
        <f t="shared" si="0"/>
        <v>17</v>
      </c>
      <c r="AP18" s="138">
        <f t="shared" si="2"/>
        <v>46098</v>
      </c>
      <c r="AQ18" s="139" t="str">
        <f t="shared" si="1"/>
        <v>Tue</v>
      </c>
      <c r="AR18" s="135" t="s">
        <v>605</v>
      </c>
      <c r="AS18" s="134">
        <v>15</v>
      </c>
      <c r="AT18" s="134"/>
      <c r="AU18" s="134">
        <v>15</v>
      </c>
      <c r="AV18" s="130"/>
      <c r="BD18" s="105" t="str">
        <f>RIGHT(Type_DT_OB[[#This Row],[Nama DT]],3)</f>
        <v>536</v>
      </c>
      <c r="BE18" s="105" t="s">
        <v>401</v>
      </c>
      <c r="BF18" s="105">
        <v>14.5</v>
      </c>
      <c r="BG18" s="105">
        <v>9</v>
      </c>
      <c r="BH18" s="105" t="s">
        <v>384</v>
      </c>
      <c r="BI18" s="105" t="s">
        <v>385</v>
      </c>
      <c r="BK18" s="105" t="str">
        <f>RIGHT(Type_mud[[#This Row],[Nama DT]],3)</f>
        <v>536</v>
      </c>
      <c r="BL18" s="105" t="s">
        <v>401</v>
      </c>
      <c r="BM18" s="105" t="s">
        <v>580</v>
      </c>
    </row>
    <row r="19" spans="1:65" ht="14.4">
      <c r="A19" s="105">
        <v>3</v>
      </c>
      <c r="B19" s="125">
        <v>1</v>
      </c>
      <c r="C19" s="105" t="s">
        <v>452</v>
      </c>
      <c r="D19" s="105" t="s">
        <v>745</v>
      </c>
      <c r="E19" s="105" t="s">
        <v>729</v>
      </c>
      <c r="F19" s="105">
        <v>16</v>
      </c>
      <c r="G19" s="105">
        <v>13.5</v>
      </c>
      <c r="H19" s="105">
        <v>216</v>
      </c>
      <c r="I19" s="105" t="s">
        <v>109</v>
      </c>
      <c r="J19" s="105" t="s">
        <v>742</v>
      </c>
      <c r="K19" s="105">
        <v>3500</v>
      </c>
      <c r="L19" s="105" t="s">
        <v>730</v>
      </c>
      <c r="M19" s="105">
        <f>OB_Act[[#This Row],[Volume (BCM)]]*OB_Act[[#This Row],[Distance (Meter)]]</f>
        <v>756000</v>
      </c>
      <c r="N19" s="105" t="str">
        <f>LEFT(OB_Act[[#This Row],[Dump Truck]],3)</f>
        <v>SNS</v>
      </c>
      <c r="O19" s="126" t="str">
        <f>OB_Act[[#This Row],[Day]]&amp;OB_Act[[#This Row],[Excavator]]&amp;OB_Act[[#This Row],[Contractor]]&amp;OB_Act[[#This Row],[Pit]]&amp;OB_Act[[#This Row],[Shift]]</f>
        <v>3SNS-EX520-242SNSPIT M4EW1</v>
      </c>
      <c r="P19" s="126">
        <f>1/COUNTIF(OB_Act[Dummy_Exc],OB_Act[[#This Row],[Dummy_Exc]])</f>
        <v>0.25</v>
      </c>
      <c r="Q19" s="105" t="str">
        <f>OB_Act[[#This Row],[Day]]&amp;OB_Act[[#This Row],[Dump Truck]]&amp;OB_Act[[#This Row],[Pit]]&amp;OB_Act[[#This Row],[Shift]]</f>
        <v>3SNS-SN607PIT M4EW1</v>
      </c>
      <c r="R19" s="126">
        <f>1/COUNTIF(OB_Act[Dummy_DT],OB_Act[[#This Row],[Dummy_DT]])</f>
        <v>1</v>
      </c>
      <c r="S19" s="126">
        <f>OB_Act[[#This Row],[Distance (Meter)]]*OB_Act[[#This Row],[Volume (BCM)]]</f>
        <v>756000</v>
      </c>
      <c r="T19" s="105" t="str">
        <f>OB_Act[[#This Row],[Day]]&amp;OB_Act[[#This Row],[Dump Truck]]&amp;OB_Act[[#This Row],[Contractor]]&amp;OB_Act[[#This Row],[Excavator]]&amp;OB_Act[[#This Row],[Shift]]</f>
        <v>3SNS-SN607SNSSNS-EX520-2421</v>
      </c>
      <c r="U19" s="126">
        <f>1/COUNTIF(OB_Act[Dummy_DT/Exc],OB_Act[[#This Row],[Dummy_DT/Exc]])</f>
        <v>1</v>
      </c>
      <c r="V19" s="126" t="str">
        <f>VLOOKUP(OB_Act[[#This Row],[Day]],$AO$2:$AR$32,4,0)</f>
        <v>Week I</v>
      </c>
      <c r="W19" s="126" t="e">
        <f>VLOOKUP(OB_Act[[#This Row],[Dump Area]],$AE$2:$AF$51,2,0)</f>
        <v>#N/A</v>
      </c>
      <c r="X19" s="126" t="str">
        <f>OB_Act[[#This Row],[Excavator]]&amp;OB_Act[[#This Row],[Contractor]]</f>
        <v>SNS-EX520-242SNS</v>
      </c>
      <c r="Y19" s="126" t="str">
        <f>IF(OB_Act[[#This Row],[Material]]="MUD",VLOOKUP(OB_Act[[#This Row],[Dump Truck]],Type_mud[[Nama DT]:[Type]],2,0),VLOOKUP(OB_Act[[#This Row],[Dump Truck]],Type_DT_OB[[Nama DT]:[Type]],4,0))</f>
        <v>SNS-VOLVO-35T</v>
      </c>
      <c r="Z19" s="126" t="str">
        <f>"JBG-OP1-CENTRAL-"&amp;VLOOKUP(OB_Act[[#This Row],[Pit]],$AK$2:$AL$9,2,0)&amp;"-WASTE-"&amp;OB_Act[[#This Row],[Material]]</f>
        <v>JBG-OP1-CENTRAL-M4EW-WASTE-TS</v>
      </c>
      <c r="AA19" s="126" t="e">
        <f>"JBG-DUMP1-"&amp;VLOOKUP(OB_Act[[#This Row],[Dump]],$AF$2:$AG$55,2,0)&amp;"-"&amp;OB_Act[[#This Row],[Material]]</f>
        <v>#N/A</v>
      </c>
      <c r="AB19" s="126" t="str">
        <f>"JBG-"&amp;OB_Act[[#This Row],[Material]]</f>
        <v>JBG-TS</v>
      </c>
      <c r="AE19" s="105" t="s">
        <v>612</v>
      </c>
      <c r="AF19" s="105" t="s">
        <v>602</v>
      </c>
      <c r="AG19" s="105" t="s">
        <v>603</v>
      </c>
      <c r="AO19" s="135">
        <f t="shared" si="0"/>
        <v>18</v>
      </c>
      <c r="AP19" s="138">
        <f t="shared" si="2"/>
        <v>46099</v>
      </c>
      <c r="AQ19" s="139" t="str">
        <f t="shared" si="1"/>
        <v>Wed</v>
      </c>
      <c r="AR19" s="135" t="s">
        <v>605</v>
      </c>
      <c r="AS19" s="134">
        <v>15</v>
      </c>
      <c r="AT19" s="134"/>
      <c r="AU19" s="134">
        <v>15</v>
      </c>
      <c r="AV19" s="130"/>
      <c r="BD19" s="105" t="str">
        <f>RIGHT(Type_DT_OB[[#This Row],[Nama DT]],3)</f>
        <v>537</v>
      </c>
      <c r="BE19" s="105" t="s">
        <v>402</v>
      </c>
      <c r="BF19" s="105">
        <v>14.5</v>
      </c>
      <c r="BG19" s="105">
        <v>9</v>
      </c>
      <c r="BH19" s="105" t="s">
        <v>384</v>
      </c>
      <c r="BI19" s="105" t="s">
        <v>385</v>
      </c>
      <c r="BK19" s="105" t="str">
        <f>RIGHT(Type_mud[[#This Row],[Nama DT]],3)</f>
        <v>537</v>
      </c>
      <c r="BL19" s="105" t="s">
        <v>402</v>
      </c>
      <c r="BM19" s="105" t="s">
        <v>580</v>
      </c>
    </row>
    <row r="20" spans="1:65" ht="14.4">
      <c r="A20" s="105">
        <v>3</v>
      </c>
      <c r="B20" s="125">
        <v>1</v>
      </c>
      <c r="C20" s="105" t="s">
        <v>454</v>
      </c>
      <c r="D20" s="105" t="s">
        <v>745</v>
      </c>
      <c r="E20" s="105" t="s">
        <v>729</v>
      </c>
      <c r="F20" s="105">
        <v>16</v>
      </c>
      <c r="G20" s="105">
        <v>13.5</v>
      </c>
      <c r="H20" s="105">
        <v>216</v>
      </c>
      <c r="I20" s="105" t="s">
        <v>109</v>
      </c>
      <c r="J20" s="105" t="s">
        <v>742</v>
      </c>
      <c r="K20" s="105">
        <v>3500</v>
      </c>
      <c r="L20" s="105" t="s">
        <v>730</v>
      </c>
      <c r="M20" s="105">
        <f>OB_Act[[#This Row],[Volume (BCM)]]*OB_Act[[#This Row],[Distance (Meter)]]</f>
        <v>756000</v>
      </c>
      <c r="N20" s="105" t="str">
        <f>LEFT(OB_Act[[#This Row],[Dump Truck]],3)</f>
        <v>SNS</v>
      </c>
      <c r="O20" s="126" t="str">
        <f>OB_Act[[#This Row],[Day]]&amp;OB_Act[[#This Row],[Excavator]]&amp;OB_Act[[#This Row],[Contractor]]&amp;OB_Act[[#This Row],[Pit]]&amp;OB_Act[[#This Row],[Shift]]</f>
        <v>3SNS-EX520-242SNSPIT M4EW1</v>
      </c>
      <c r="P20" s="126">
        <f>1/COUNTIF(OB_Act[Dummy_Exc],OB_Act[[#This Row],[Dummy_Exc]])</f>
        <v>0.25</v>
      </c>
      <c r="Q20" s="105" t="str">
        <f>OB_Act[[#This Row],[Day]]&amp;OB_Act[[#This Row],[Dump Truck]]&amp;OB_Act[[#This Row],[Pit]]&amp;OB_Act[[#This Row],[Shift]]</f>
        <v>3SNS-SN609PIT M4EW1</v>
      </c>
      <c r="R20" s="126">
        <f>1/COUNTIF(OB_Act[Dummy_DT],OB_Act[[#This Row],[Dummy_DT]])</f>
        <v>1</v>
      </c>
      <c r="S20" s="126">
        <f>OB_Act[[#This Row],[Distance (Meter)]]*OB_Act[[#This Row],[Volume (BCM)]]</f>
        <v>756000</v>
      </c>
      <c r="T20" s="105" t="str">
        <f>OB_Act[[#This Row],[Day]]&amp;OB_Act[[#This Row],[Dump Truck]]&amp;OB_Act[[#This Row],[Contractor]]&amp;OB_Act[[#This Row],[Excavator]]&amp;OB_Act[[#This Row],[Shift]]</f>
        <v>3SNS-SN609SNSSNS-EX520-2421</v>
      </c>
      <c r="U20" s="126">
        <f>1/COUNTIF(OB_Act[Dummy_DT/Exc],OB_Act[[#This Row],[Dummy_DT/Exc]])</f>
        <v>1</v>
      </c>
      <c r="V20" s="126" t="str">
        <f>VLOOKUP(OB_Act[[#This Row],[Day]],$AO$2:$AR$32,4,0)</f>
        <v>Week I</v>
      </c>
      <c r="W20" s="126" t="e">
        <f>VLOOKUP(OB_Act[[#This Row],[Dump Area]],$AE$2:$AF$51,2,0)</f>
        <v>#N/A</v>
      </c>
      <c r="X20" s="126" t="str">
        <f>OB_Act[[#This Row],[Excavator]]&amp;OB_Act[[#This Row],[Contractor]]</f>
        <v>SNS-EX520-242SNS</v>
      </c>
      <c r="Y20" s="126" t="str">
        <f>IF(OB_Act[[#This Row],[Material]]="MUD",VLOOKUP(OB_Act[[#This Row],[Dump Truck]],Type_mud[[Nama DT]:[Type]],2,0),VLOOKUP(OB_Act[[#This Row],[Dump Truck]],Type_DT_OB[[Nama DT]:[Type]],4,0))</f>
        <v>SNS-HINO-30T</v>
      </c>
      <c r="Z20" s="126" t="str">
        <f>"JBG-OP1-CENTRAL-"&amp;VLOOKUP(OB_Act[[#This Row],[Pit]],$AK$2:$AL$9,2,0)&amp;"-WASTE-"&amp;OB_Act[[#This Row],[Material]]</f>
        <v>JBG-OP1-CENTRAL-M4EW-WASTE-TS</v>
      </c>
      <c r="AA20" s="126" t="e">
        <f>"JBG-DUMP1-"&amp;VLOOKUP(OB_Act[[#This Row],[Dump]],$AF$2:$AG$55,2,0)&amp;"-"&amp;OB_Act[[#This Row],[Material]]</f>
        <v>#N/A</v>
      </c>
      <c r="AB20" s="126" t="str">
        <f>"JBG-"&amp;OB_Act[[#This Row],[Material]]</f>
        <v>JBG-TS</v>
      </c>
      <c r="AE20" s="105" t="s">
        <v>613</v>
      </c>
      <c r="AF20" s="105" t="s">
        <v>602</v>
      </c>
      <c r="AG20" s="105" t="s">
        <v>603</v>
      </c>
      <c r="AO20" s="135">
        <f t="shared" si="0"/>
        <v>19</v>
      </c>
      <c r="AP20" s="138">
        <f t="shared" si="2"/>
        <v>46100</v>
      </c>
      <c r="AQ20" s="139" t="str">
        <f t="shared" si="1"/>
        <v>Thu</v>
      </c>
      <c r="AR20" s="135" t="s">
        <v>605</v>
      </c>
      <c r="AS20" s="134">
        <v>15</v>
      </c>
      <c r="AT20" s="134"/>
      <c r="AU20" s="134">
        <v>15</v>
      </c>
      <c r="AV20" s="130"/>
      <c r="BD20" s="105" t="str">
        <f>RIGHT(Type_DT_OB[[#This Row],[Nama DT]],3)</f>
        <v>538</v>
      </c>
      <c r="BE20" s="105" t="s">
        <v>403</v>
      </c>
      <c r="BF20" s="105">
        <v>14.5</v>
      </c>
      <c r="BG20" s="105">
        <v>9</v>
      </c>
      <c r="BH20" s="105" t="s">
        <v>384</v>
      </c>
      <c r="BI20" s="105" t="s">
        <v>385</v>
      </c>
      <c r="BK20" s="105" t="str">
        <f>RIGHT(Type_mud[[#This Row],[Nama DT]],3)</f>
        <v>538</v>
      </c>
      <c r="BL20" s="105" t="s">
        <v>403</v>
      </c>
      <c r="BM20" s="105" t="s">
        <v>580</v>
      </c>
    </row>
    <row r="21" spans="1:65" ht="14.4">
      <c r="A21" s="105">
        <v>3</v>
      </c>
      <c r="B21" s="125">
        <v>1</v>
      </c>
      <c r="C21" s="105" t="s">
        <v>451</v>
      </c>
      <c r="D21" s="105" t="s">
        <v>745</v>
      </c>
      <c r="E21" s="105" t="s">
        <v>729</v>
      </c>
      <c r="F21" s="105">
        <v>16</v>
      </c>
      <c r="G21" s="105">
        <v>13.5</v>
      </c>
      <c r="H21" s="105">
        <v>216</v>
      </c>
      <c r="I21" s="105" t="s">
        <v>109</v>
      </c>
      <c r="J21" s="105" t="s">
        <v>742</v>
      </c>
      <c r="K21" s="105">
        <v>3500</v>
      </c>
      <c r="L21" s="105" t="s">
        <v>730</v>
      </c>
      <c r="M21" s="105">
        <f>OB_Act[[#This Row],[Volume (BCM)]]*OB_Act[[#This Row],[Distance (Meter)]]</f>
        <v>756000</v>
      </c>
      <c r="N21" s="105" t="str">
        <f>LEFT(OB_Act[[#This Row],[Dump Truck]],3)</f>
        <v>SNS</v>
      </c>
      <c r="O21" s="126" t="str">
        <f>OB_Act[[#This Row],[Day]]&amp;OB_Act[[#This Row],[Excavator]]&amp;OB_Act[[#This Row],[Contractor]]&amp;OB_Act[[#This Row],[Pit]]&amp;OB_Act[[#This Row],[Shift]]</f>
        <v>3SNS-EX520-242SNSPIT M4EW1</v>
      </c>
      <c r="P21" s="126">
        <f>1/COUNTIF(OB_Act[Dummy_Exc],OB_Act[[#This Row],[Dummy_Exc]])</f>
        <v>0.25</v>
      </c>
      <c r="Q21" s="105" t="str">
        <f>OB_Act[[#This Row],[Day]]&amp;OB_Act[[#This Row],[Dump Truck]]&amp;OB_Act[[#This Row],[Pit]]&amp;OB_Act[[#This Row],[Shift]]</f>
        <v>3SNS-SN606PIT M4EW1</v>
      </c>
      <c r="R21" s="126">
        <f>1/COUNTIF(OB_Act[Dummy_DT],OB_Act[[#This Row],[Dummy_DT]])</f>
        <v>1</v>
      </c>
      <c r="S21" s="126">
        <f>OB_Act[[#This Row],[Distance (Meter)]]*OB_Act[[#This Row],[Volume (BCM)]]</f>
        <v>756000</v>
      </c>
      <c r="T21" s="105" t="str">
        <f>OB_Act[[#This Row],[Day]]&amp;OB_Act[[#This Row],[Dump Truck]]&amp;OB_Act[[#This Row],[Contractor]]&amp;OB_Act[[#This Row],[Excavator]]&amp;OB_Act[[#This Row],[Shift]]</f>
        <v>3SNS-SN606SNSSNS-EX520-2421</v>
      </c>
      <c r="U21" s="126">
        <f>1/COUNTIF(OB_Act[Dummy_DT/Exc],OB_Act[[#This Row],[Dummy_DT/Exc]])</f>
        <v>1</v>
      </c>
      <c r="V21" s="126" t="str">
        <f>VLOOKUP(OB_Act[[#This Row],[Day]],$AO$2:$AR$32,4,0)</f>
        <v>Week I</v>
      </c>
      <c r="W21" s="126" t="e">
        <f>VLOOKUP(OB_Act[[#This Row],[Dump Area]],$AE$2:$AF$51,2,0)</f>
        <v>#N/A</v>
      </c>
      <c r="X21" s="126" t="str">
        <f>OB_Act[[#This Row],[Excavator]]&amp;OB_Act[[#This Row],[Contractor]]</f>
        <v>SNS-EX520-242SNS</v>
      </c>
      <c r="Y21" s="126" t="str">
        <f>IF(OB_Act[[#This Row],[Material]]="MUD",VLOOKUP(OB_Act[[#This Row],[Dump Truck]],Type_mud[[Nama DT]:[Type]],2,0),VLOOKUP(OB_Act[[#This Row],[Dump Truck]],Type_DT_OB[[Nama DT]:[Type]],4,0))</f>
        <v>SNS-VOLVO-35T</v>
      </c>
      <c r="Z21" s="126" t="str">
        <f>"JBG-OP1-CENTRAL-"&amp;VLOOKUP(OB_Act[[#This Row],[Pit]],$AK$2:$AL$9,2,0)&amp;"-WASTE-"&amp;OB_Act[[#This Row],[Material]]</f>
        <v>JBG-OP1-CENTRAL-M4EW-WASTE-TS</v>
      </c>
      <c r="AA21" s="126" t="e">
        <f>"JBG-DUMP1-"&amp;VLOOKUP(OB_Act[[#This Row],[Dump]],$AF$2:$AG$55,2,0)&amp;"-"&amp;OB_Act[[#This Row],[Material]]</f>
        <v>#N/A</v>
      </c>
      <c r="AB21" s="126" t="str">
        <f>"JBG-"&amp;OB_Act[[#This Row],[Material]]</f>
        <v>JBG-TS</v>
      </c>
      <c r="AE21" s="105" t="s">
        <v>734</v>
      </c>
      <c r="AF21" s="105" t="s">
        <v>734</v>
      </c>
      <c r="AG21" s="105" t="s">
        <v>734</v>
      </c>
      <c r="AO21" s="135">
        <f t="shared" si="0"/>
        <v>20</v>
      </c>
      <c r="AP21" s="138">
        <f t="shared" si="2"/>
        <v>46101</v>
      </c>
      <c r="AQ21" s="139" t="str">
        <f t="shared" si="1"/>
        <v>Fri</v>
      </c>
      <c r="AR21" s="135" t="s">
        <v>605</v>
      </c>
      <c r="AS21" s="134">
        <v>15</v>
      </c>
      <c r="AT21" s="134"/>
      <c r="AU21" s="134">
        <v>15</v>
      </c>
      <c r="AV21" s="130"/>
      <c r="BD21" s="105" t="str">
        <f>RIGHT(Type_DT_OB[[#This Row],[Nama DT]],3)</f>
        <v>557</v>
      </c>
      <c r="BE21" s="105" t="s">
        <v>404</v>
      </c>
      <c r="BF21" s="105">
        <v>14.5</v>
      </c>
      <c r="BG21" s="105">
        <v>9</v>
      </c>
      <c r="BH21" s="105" t="s">
        <v>384</v>
      </c>
      <c r="BI21" s="105" t="s">
        <v>385</v>
      </c>
      <c r="BK21" s="105" t="str">
        <f>RIGHT(Type_mud[[#This Row],[Nama DT]],3)</f>
        <v>557</v>
      </c>
      <c r="BL21" s="105" t="s">
        <v>404</v>
      </c>
      <c r="BM21" s="105" t="s">
        <v>580</v>
      </c>
    </row>
    <row r="22" spans="1:65" ht="14.4">
      <c r="A22" s="105">
        <v>3</v>
      </c>
      <c r="B22" s="125">
        <v>1</v>
      </c>
      <c r="C22" s="105" t="s">
        <v>416</v>
      </c>
      <c r="D22" s="105" t="s">
        <v>745</v>
      </c>
      <c r="E22" s="105" t="s">
        <v>729</v>
      </c>
      <c r="F22" s="105">
        <v>13</v>
      </c>
      <c r="G22" s="105">
        <v>13.5</v>
      </c>
      <c r="H22" s="105">
        <v>175.5</v>
      </c>
      <c r="I22" s="105" t="s">
        <v>109</v>
      </c>
      <c r="J22" s="105" t="s">
        <v>742</v>
      </c>
      <c r="K22" s="105">
        <v>3500</v>
      </c>
      <c r="L22" s="105" t="s">
        <v>730</v>
      </c>
      <c r="M22" s="105">
        <f>OB_Act[[#This Row],[Volume (BCM)]]*OB_Act[[#This Row],[Distance (Meter)]]</f>
        <v>614250</v>
      </c>
      <c r="N22" s="105" t="str">
        <f>LEFT(OB_Act[[#This Row],[Dump Truck]],3)</f>
        <v>SNS</v>
      </c>
      <c r="O22" s="126" t="str">
        <f>OB_Act[[#This Row],[Day]]&amp;OB_Act[[#This Row],[Excavator]]&amp;OB_Act[[#This Row],[Contractor]]&amp;OB_Act[[#This Row],[Pit]]&amp;OB_Act[[#This Row],[Shift]]</f>
        <v>3SNS-EX520-242SNSPIT M4EW1</v>
      </c>
      <c r="P22" s="126">
        <f>1/COUNTIF(OB_Act[Dummy_Exc],OB_Act[[#This Row],[Dummy_Exc]])</f>
        <v>0.25</v>
      </c>
      <c r="Q22" s="105" t="str">
        <f>OB_Act[[#This Row],[Day]]&amp;OB_Act[[#This Row],[Dump Truck]]&amp;OB_Act[[#This Row],[Pit]]&amp;OB_Act[[#This Row],[Shift]]</f>
        <v>3SNS-SN569PIT M4EW1</v>
      </c>
      <c r="R22" s="126">
        <f>1/COUNTIF(OB_Act[Dummy_DT],OB_Act[[#This Row],[Dummy_DT]])</f>
        <v>1</v>
      </c>
      <c r="S22" s="126">
        <f>OB_Act[[#This Row],[Distance (Meter)]]*OB_Act[[#This Row],[Volume (BCM)]]</f>
        <v>614250</v>
      </c>
      <c r="T22" s="105" t="str">
        <f>OB_Act[[#This Row],[Day]]&amp;OB_Act[[#This Row],[Dump Truck]]&amp;OB_Act[[#This Row],[Contractor]]&amp;OB_Act[[#This Row],[Excavator]]&amp;OB_Act[[#This Row],[Shift]]</f>
        <v>3SNS-SN569SNSSNS-EX520-2421</v>
      </c>
      <c r="U22" s="126">
        <f>1/COUNTIF(OB_Act[Dummy_DT/Exc],OB_Act[[#This Row],[Dummy_DT/Exc]])</f>
        <v>1</v>
      </c>
      <c r="V22" s="126" t="str">
        <f>VLOOKUP(OB_Act[[#This Row],[Day]],$AO$2:$AR$32,4,0)</f>
        <v>Week I</v>
      </c>
      <c r="W22" s="126" t="e">
        <f>VLOOKUP(OB_Act[[#This Row],[Dump Area]],$AE$2:$AF$51,2,0)</f>
        <v>#N/A</v>
      </c>
      <c r="X22" s="126" t="str">
        <f>OB_Act[[#This Row],[Excavator]]&amp;OB_Act[[#This Row],[Contractor]]</f>
        <v>SNS-EX520-242SNS</v>
      </c>
      <c r="Y22" s="126" t="str">
        <f>IF(OB_Act[[#This Row],[Material]]="MUD",VLOOKUP(OB_Act[[#This Row],[Dump Truck]],Type_mud[[Nama DT]:[Type]],2,0),VLOOKUP(OB_Act[[#This Row],[Dump Truck]],Type_DT_OB[[Nama DT]:[Type]],4,0))</f>
        <v>SNS-HINO-30T</v>
      </c>
      <c r="Z22" s="126" t="str">
        <f>"JBG-OP1-CENTRAL-"&amp;VLOOKUP(OB_Act[[#This Row],[Pit]],$AK$2:$AL$9,2,0)&amp;"-WASTE-"&amp;OB_Act[[#This Row],[Material]]</f>
        <v>JBG-OP1-CENTRAL-M4EW-WASTE-TS</v>
      </c>
      <c r="AA22" s="126" t="e">
        <f>"JBG-DUMP1-"&amp;VLOOKUP(OB_Act[[#This Row],[Dump]],$AF$2:$AG$55,2,0)&amp;"-"&amp;OB_Act[[#This Row],[Material]]</f>
        <v>#N/A</v>
      </c>
      <c r="AB22" s="126" t="str">
        <f>"JBG-"&amp;OB_Act[[#This Row],[Material]]</f>
        <v>JBG-TS</v>
      </c>
      <c r="AE22" s="105" t="s">
        <v>112</v>
      </c>
      <c r="AF22" s="133" t="s">
        <v>112</v>
      </c>
      <c r="AG22" s="105" t="s">
        <v>609</v>
      </c>
      <c r="AO22" s="135">
        <f t="shared" si="0"/>
        <v>21</v>
      </c>
      <c r="AP22" s="138">
        <f t="shared" si="2"/>
        <v>46102</v>
      </c>
      <c r="AQ22" s="139" t="str">
        <f t="shared" si="1"/>
        <v>Sat</v>
      </c>
      <c r="AR22" s="135" t="s">
        <v>605</v>
      </c>
      <c r="AS22" s="134">
        <v>15</v>
      </c>
      <c r="AT22" s="134"/>
      <c r="AU22" s="134">
        <v>15</v>
      </c>
      <c r="AV22" s="130"/>
      <c r="BD22" s="105" t="str">
        <f>RIGHT(Type_DT_OB[[#This Row],[Nama DT]],3)</f>
        <v>558</v>
      </c>
      <c r="BE22" s="105" t="s">
        <v>405</v>
      </c>
      <c r="BF22" s="105">
        <v>14.5</v>
      </c>
      <c r="BG22" s="105">
        <v>9</v>
      </c>
      <c r="BH22" s="105" t="s">
        <v>384</v>
      </c>
      <c r="BI22" s="105" t="s">
        <v>385</v>
      </c>
      <c r="BK22" s="105" t="str">
        <f>RIGHT(Type_mud[[#This Row],[Nama DT]],3)</f>
        <v>558</v>
      </c>
      <c r="BL22" s="105" t="s">
        <v>405</v>
      </c>
      <c r="BM22" s="105" t="s">
        <v>580</v>
      </c>
    </row>
    <row r="23" spans="1:65" ht="14.4">
      <c r="A23" s="105">
        <v>3</v>
      </c>
      <c r="B23" s="125">
        <v>1</v>
      </c>
      <c r="C23" s="105" t="s">
        <v>449</v>
      </c>
      <c r="D23" s="105" t="s">
        <v>746</v>
      </c>
      <c r="E23" s="105" t="s">
        <v>729</v>
      </c>
      <c r="F23" s="105">
        <v>25</v>
      </c>
      <c r="G23" s="105">
        <v>13.5</v>
      </c>
      <c r="H23" s="105">
        <v>337.5</v>
      </c>
      <c r="I23" s="105" t="s">
        <v>106</v>
      </c>
      <c r="J23" s="105" t="s">
        <v>729</v>
      </c>
      <c r="K23" s="105">
        <v>800</v>
      </c>
      <c r="L23" s="105" t="s">
        <v>730</v>
      </c>
      <c r="M23" s="105">
        <f>OB_Act[[#This Row],[Volume (BCM)]]*OB_Act[[#This Row],[Distance (Meter)]]</f>
        <v>270000</v>
      </c>
      <c r="N23" s="105" t="str">
        <f>LEFT(OB_Act[[#This Row],[Dump Truck]],3)</f>
        <v>SNS</v>
      </c>
      <c r="O23" s="126" t="str">
        <f>OB_Act[[#This Row],[Day]]&amp;OB_Act[[#This Row],[Excavator]]&amp;OB_Act[[#This Row],[Contractor]]&amp;OB_Act[[#This Row],[Pit]]&amp;OB_Act[[#This Row],[Shift]]</f>
        <v>3SNS-EX520-240SNSPIT M4EW1</v>
      </c>
      <c r="P23" s="126">
        <f>1/COUNTIF(OB_Act[Dummy_Exc],OB_Act[[#This Row],[Dummy_Exc]])</f>
        <v>0.2</v>
      </c>
      <c r="Q23" s="105" t="str">
        <f>OB_Act[[#This Row],[Day]]&amp;OB_Act[[#This Row],[Dump Truck]]&amp;OB_Act[[#This Row],[Pit]]&amp;OB_Act[[#This Row],[Shift]]</f>
        <v>3SNS-SN604PIT M4EW1</v>
      </c>
      <c r="R23" s="126">
        <f>1/COUNTIF(OB_Act[Dummy_DT],OB_Act[[#This Row],[Dummy_DT]])</f>
        <v>1</v>
      </c>
      <c r="S23" s="126">
        <f>OB_Act[[#This Row],[Distance (Meter)]]*OB_Act[[#This Row],[Volume (BCM)]]</f>
        <v>270000</v>
      </c>
      <c r="T23" s="105" t="str">
        <f>OB_Act[[#This Row],[Day]]&amp;OB_Act[[#This Row],[Dump Truck]]&amp;OB_Act[[#This Row],[Contractor]]&amp;OB_Act[[#This Row],[Excavator]]&amp;OB_Act[[#This Row],[Shift]]</f>
        <v>3SNS-SN604SNSSNS-EX520-2401</v>
      </c>
      <c r="U23" s="126">
        <f>1/COUNTIF(OB_Act[Dummy_DT/Exc],OB_Act[[#This Row],[Dummy_DT/Exc]])</f>
        <v>1</v>
      </c>
      <c r="V23" s="126" t="str">
        <f>VLOOKUP(OB_Act[[#This Row],[Day]],$AO$2:$AR$32,4,0)</f>
        <v>Week I</v>
      </c>
      <c r="W23" s="126" t="str">
        <f>VLOOKUP(OB_Act[[#This Row],[Dump Area]],$AE$2:$AF$51,2,0)</f>
        <v>M4EW</v>
      </c>
      <c r="X23" s="126" t="str">
        <f>OB_Act[[#This Row],[Excavator]]&amp;OB_Act[[#This Row],[Contractor]]</f>
        <v>SNS-EX520-240SNS</v>
      </c>
      <c r="Y23" s="126" t="str">
        <f>IF(OB_Act[[#This Row],[Material]]="MUD",VLOOKUP(OB_Act[[#This Row],[Dump Truck]],Type_mud[[Nama DT]:[Type]],2,0),VLOOKUP(OB_Act[[#This Row],[Dump Truck]],Type_DT_OB[[Nama DT]:[Type]],4,0))</f>
        <v>SNS-VOLVO-35T</v>
      </c>
      <c r="Z23" s="126" t="str">
        <f>"JBG-OP1-CENTRAL-"&amp;VLOOKUP(OB_Act[[#This Row],[Pit]],$AK$2:$AL$9,2,0)&amp;"-WASTE-"&amp;OB_Act[[#This Row],[Material]]</f>
        <v>JBG-OP1-CENTRAL-M4EW-WASTE-OB-PAF</v>
      </c>
      <c r="AA23" s="126" t="str">
        <f>"JBG-DUMP1-"&amp;VLOOKUP(OB_Act[[#This Row],[Dump]],$AF$2:$AG$55,2,0)&amp;"-"&amp;OB_Act[[#This Row],[Material]]</f>
        <v>JBG-DUMP1-INPIT-M4EW-OB-PAF</v>
      </c>
      <c r="AB23" s="126" t="str">
        <f>"JBG-"&amp;OB_Act[[#This Row],[Material]]</f>
        <v>JBG-OB-PAF</v>
      </c>
      <c r="AE23" s="105" t="s">
        <v>729</v>
      </c>
      <c r="AF23" s="105" t="s">
        <v>729</v>
      </c>
      <c r="AG23" s="105" t="s">
        <v>740</v>
      </c>
      <c r="AO23" s="135">
        <f t="shared" si="0"/>
        <v>22</v>
      </c>
      <c r="AP23" s="138">
        <f t="shared" si="2"/>
        <v>46103</v>
      </c>
      <c r="AQ23" s="139" t="str">
        <f t="shared" si="1"/>
        <v>Sun</v>
      </c>
      <c r="AR23" s="135" t="s">
        <v>605</v>
      </c>
      <c r="AS23" s="134">
        <v>15</v>
      </c>
      <c r="AT23" s="134"/>
      <c r="AU23" s="134">
        <v>15</v>
      </c>
      <c r="AV23" s="130"/>
      <c r="BD23" s="105" t="str">
        <f>RIGHT(Type_DT_OB[[#This Row],[Nama DT]],3)</f>
        <v>559</v>
      </c>
      <c r="BE23" s="105" t="s">
        <v>406</v>
      </c>
      <c r="BF23" s="105">
        <v>14.5</v>
      </c>
      <c r="BG23" s="105">
        <v>9</v>
      </c>
      <c r="BH23" s="105" t="s">
        <v>384</v>
      </c>
      <c r="BI23" s="105" t="s">
        <v>385</v>
      </c>
      <c r="BK23" s="105" t="str">
        <f>RIGHT(Type_mud[[#This Row],[Nama DT]],3)</f>
        <v>559</v>
      </c>
      <c r="BL23" s="105" t="s">
        <v>406</v>
      </c>
      <c r="BM23" s="105" t="s">
        <v>580</v>
      </c>
    </row>
    <row r="24" spans="1:65" ht="14.4">
      <c r="A24" s="105">
        <v>3</v>
      </c>
      <c r="B24" s="125">
        <v>1</v>
      </c>
      <c r="C24" s="105" t="s">
        <v>429</v>
      </c>
      <c r="D24" s="105" t="s">
        <v>746</v>
      </c>
      <c r="E24" s="105" t="s">
        <v>729</v>
      </c>
      <c r="F24" s="105">
        <v>14</v>
      </c>
      <c r="G24" s="105">
        <v>13.5</v>
      </c>
      <c r="H24" s="105">
        <v>189</v>
      </c>
      <c r="I24" s="105" t="s">
        <v>106</v>
      </c>
      <c r="J24" s="105" t="s">
        <v>729</v>
      </c>
      <c r="K24" s="105">
        <v>800</v>
      </c>
      <c r="L24" s="105" t="s">
        <v>730</v>
      </c>
      <c r="M24" s="105">
        <f>OB_Act[[#This Row],[Volume (BCM)]]*OB_Act[[#This Row],[Distance (Meter)]]</f>
        <v>151200</v>
      </c>
      <c r="N24" s="105" t="str">
        <f>LEFT(OB_Act[[#This Row],[Dump Truck]],3)</f>
        <v>SNS</v>
      </c>
      <c r="O24" s="126" t="str">
        <f>OB_Act[[#This Row],[Day]]&amp;OB_Act[[#This Row],[Excavator]]&amp;OB_Act[[#This Row],[Contractor]]&amp;OB_Act[[#This Row],[Pit]]&amp;OB_Act[[#This Row],[Shift]]</f>
        <v>3SNS-EX520-240SNSPIT M4EW1</v>
      </c>
      <c r="P24" s="126">
        <f>1/COUNTIF(OB_Act[Dummy_Exc],OB_Act[[#This Row],[Dummy_Exc]])</f>
        <v>0.2</v>
      </c>
      <c r="Q24" s="105" t="str">
        <f>OB_Act[[#This Row],[Day]]&amp;OB_Act[[#This Row],[Dump Truck]]&amp;OB_Act[[#This Row],[Pit]]&amp;OB_Act[[#This Row],[Shift]]</f>
        <v>3SNS-SN582PIT M4EW1</v>
      </c>
      <c r="R24" s="126">
        <f>1/COUNTIF(OB_Act[Dummy_DT],OB_Act[[#This Row],[Dummy_DT]])</f>
        <v>1</v>
      </c>
      <c r="S24" s="126">
        <f>OB_Act[[#This Row],[Distance (Meter)]]*OB_Act[[#This Row],[Volume (BCM)]]</f>
        <v>151200</v>
      </c>
      <c r="T24" s="105" t="str">
        <f>OB_Act[[#This Row],[Day]]&amp;OB_Act[[#This Row],[Dump Truck]]&amp;OB_Act[[#This Row],[Contractor]]&amp;OB_Act[[#This Row],[Excavator]]&amp;OB_Act[[#This Row],[Shift]]</f>
        <v>3SNS-SN582SNSSNS-EX520-2401</v>
      </c>
      <c r="U24" s="126">
        <f>1/COUNTIF(OB_Act[Dummy_DT/Exc],OB_Act[[#This Row],[Dummy_DT/Exc]])</f>
        <v>1</v>
      </c>
      <c r="V24" s="126" t="str">
        <f>VLOOKUP(OB_Act[[#This Row],[Day]],$AO$2:$AR$32,4,0)</f>
        <v>Week I</v>
      </c>
      <c r="W24" s="126" t="str">
        <f>VLOOKUP(OB_Act[[#This Row],[Dump Area]],$AE$2:$AF$51,2,0)</f>
        <v>M4EW</v>
      </c>
      <c r="X24" s="126" t="str">
        <f>OB_Act[[#This Row],[Excavator]]&amp;OB_Act[[#This Row],[Contractor]]</f>
        <v>SNS-EX520-240SNS</v>
      </c>
      <c r="Y24" s="126" t="str">
        <f>IF(OB_Act[[#This Row],[Material]]="MUD",VLOOKUP(OB_Act[[#This Row],[Dump Truck]],Type_mud[[Nama DT]:[Type]],2,0),VLOOKUP(OB_Act[[#This Row],[Dump Truck]],Type_DT_OB[[Nama DT]:[Type]],4,0))</f>
        <v>SNS-HINO-30T</v>
      </c>
      <c r="Z24" s="126" t="str">
        <f>"JBG-OP1-CENTRAL-"&amp;VLOOKUP(OB_Act[[#This Row],[Pit]],$AK$2:$AL$9,2,0)&amp;"-WASTE-"&amp;OB_Act[[#This Row],[Material]]</f>
        <v>JBG-OP1-CENTRAL-M4EW-WASTE-OB-PAF</v>
      </c>
      <c r="AA24" s="126" t="str">
        <f>"JBG-DUMP1-"&amp;VLOOKUP(OB_Act[[#This Row],[Dump]],$AF$2:$AG$55,2,0)&amp;"-"&amp;OB_Act[[#This Row],[Material]]</f>
        <v>JBG-DUMP1-INPIT-M4EW-OB-PAF</v>
      </c>
      <c r="AB24" s="126" t="str">
        <f>"JBG-"&amp;OB_Act[[#This Row],[Material]]</f>
        <v>JBG-OB-PAF</v>
      </c>
      <c r="AE24" s="105" t="s">
        <v>615</v>
      </c>
      <c r="AF24" s="105" t="s">
        <v>602</v>
      </c>
      <c r="AG24" s="105" t="s">
        <v>603</v>
      </c>
      <c r="AO24" s="135">
        <f t="shared" si="0"/>
        <v>23</v>
      </c>
      <c r="AP24" s="138">
        <f t="shared" si="2"/>
        <v>46104</v>
      </c>
      <c r="AQ24" s="139" t="str">
        <f t="shared" si="1"/>
        <v>Mon</v>
      </c>
      <c r="AR24" s="135" t="s">
        <v>614</v>
      </c>
      <c r="AS24" s="134">
        <v>15</v>
      </c>
      <c r="AT24" s="134"/>
      <c r="AU24" s="134">
        <v>15</v>
      </c>
      <c r="AV24" s="130"/>
      <c r="BD24" s="105" t="str">
        <f>RIGHT(Type_DT_OB[[#This Row],[Nama DT]],3)</f>
        <v>560</v>
      </c>
      <c r="BE24" s="105" t="s">
        <v>407</v>
      </c>
      <c r="BF24" s="105">
        <v>14.5</v>
      </c>
      <c r="BG24" s="105">
        <v>9</v>
      </c>
      <c r="BH24" s="105" t="s">
        <v>384</v>
      </c>
      <c r="BI24" s="105" t="s">
        <v>385</v>
      </c>
      <c r="BK24" s="105" t="str">
        <f>RIGHT(Type_mud[[#This Row],[Nama DT]],3)</f>
        <v>560</v>
      </c>
      <c r="BL24" s="105" t="s">
        <v>407</v>
      </c>
      <c r="BM24" s="105" t="s">
        <v>580</v>
      </c>
    </row>
    <row r="25" spans="1:65" ht="14.4">
      <c r="A25" s="105">
        <v>3</v>
      </c>
      <c r="B25" s="125">
        <v>1</v>
      </c>
      <c r="C25" s="105" t="s">
        <v>448</v>
      </c>
      <c r="D25" s="105" t="s">
        <v>746</v>
      </c>
      <c r="E25" s="105" t="s">
        <v>729</v>
      </c>
      <c r="F25" s="105">
        <v>20</v>
      </c>
      <c r="G25" s="105">
        <v>13.5</v>
      </c>
      <c r="H25" s="105">
        <v>270</v>
      </c>
      <c r="I25" s="105" t="s">
        <v>106</v>
      </c>
      <c r="J25" s="105" t="s">
        <v>729</v>
      </c>
      <c r="K25" s="105">
        <v>800</v>
      </c>
      <c r="L25" s="105" t="s">
        <v>730</v>
      </c>
      <c r="M25" s="105">
        <f>OB_Act[[#This Row],[Volume (BCM)]]*OB_Act[[#This Row],[Distance (Meter)]]</f>
        <v>216000</v>
      </c>
      <c r="N25" s="105" t="str">
        <f>LEFT(OB_Act[[#This Row],[Dump Truck]],3)</f>
        <v>SNS</v>
      </c>
      <c r="O25" s="126" t="str">
        <f>OB_Act[[#This Row],[Day]]&amp;OB_Act[[#This Row],[Excavator]]&amp;OB_Act[[#This Row],[Contractor]]&amp;OB_Act[[#This Row],[Pit]]&amp;OB_Act[[#This Row],[Shift]]</f>
        <v>3SNS-EX520-240SNSPIT M4EW1</v>
      </c>
      <c r="P25" s="126">
        <f>1/COUNTIF(OB_Act[Dummy_Exc],OB_Act[[#This Row],[Dummy_Exc]])</f>
        <v>0.2</v>
      </c>
      <c r="Q25" s="105" t="str">
        <f>OB_Act[[#This Row],[Day]]&amp;OB_Act[[#This Row],[Dump Truck]]&amp;OB_Act[[#This Row],[Pit]]&amp;OB_Act[[#This Row],[Shift]]</f>
        <v>3SNS-SN603PIT M4EW1</v>
      </c>
      <c r="R25" s="126">
        <f>1/COUNTIF(OB_Act[Dummy_DT],OB_Act[[#This Row],[Dummy_DT]])</f>
        <v>1</v>
      </c>
      <c r="S25" s="126">
        <f>OB_Act[[#This Row],[Distance (Meter)]]*OB_Act[[#This Row],[Volume (BCM)]]</f>
        <v>216000</v>
      </c>
      <c r="T25" s="105" t="str">
        <f>OB_Act[[#This Row],[Day]]&amp;OB_Act[[#This Row],[Dump Truck]]&amp;OB_Act[[#This Row],[Contractor]]&amp;OB_Act[[#This Row],[Excavator]]&amp;OB_Act[[#This Row],[Shift]]</f>
        <v>3SNS-SN603SNSSNS-EX520-2401</v>
      </c>
      <c r="U25" s="126">
        <f>1/COUNTIF(OB_Act[Dummy_DT/Exc],OB_Act[[#This Row],[Dummy_DT/Exc]])</f>
        <v>1</v>
      </c>
      <c r="V25" s="126" t="str">
        <f>VLOOKUP(OB_Act[[#This Row],[Day]],$AO$2:$AR$32,4,0)</f>
        <v>Week I</v>
      </c>
      <c r="W25" s="126" t="str">
        <f>VLOOKUP(OB_Act[[#This Row],[Dump Area]],$AE$2:$AF$51,2,0)</f>
        <v>M4EW</v>
      </c>
      <c r="X25" s="126" t="str">
        <f>OB_Act[[#This Row],[Excavator]]&amp;OB_Act[[#This Row],[Contractor]]</f>
        <v>SNS-EX520-240SNS</v>
      </c>
      <c r="Y25" s="126" t="str">
        <f>IF(OB_Act[[#This Row],[Material]]="MUD",VLOOKUP(OB_Act[[#This Row],[Dump Truck]],Type_mud[[Nama DT]:[Type]],2,0),VLOOKUP(OB_Act[[#This Row],[Dump Truck]],Type_DT_OB[[Nama DT]:[Type]],4,0))</f>
        <v>SNS-VOLVO-35T</v>
      </c>
      <c r="Z25" s="126" t="str">
        <f>"JBG-OP1-CENTRAL-"&amp;VLOOKUP(OB_Act[[#This Row],[Pit]],$AK$2:$AL$9,2,0)&amp;"-WASTE-"&amp;OB_Act[[#This Row],[Material]]</f>
        <v>JBG-OP1-CENTRAL-M4EW-WASTE-OB-PAF</v>
      </c>
      <c r="AA25" s="126" t="str">
        <f>"JBG-DUMP1-"&amp;VLOOKUP(OB_Act[[#This Row],[Dump]],$AF$2:$AG$55,2,0)&amp;"-"&amp;OB_Act[[#This Row],[Material]]</f>
        <v>JBG-DUMP1-INPIT-M4EW-OB-PAF</v>
      </c>
      <c r="AB25" s="126" t="str">
        <f>"JBG-"&amp;OB_Act[[#This Row],[Material]]</f>
        <v>JBG-OB-PAF</v>
      </c>
      <c r="AE25" s="105" t="s">
        <v>616</v>
      </c>
      <c r="AF25" s="105" t="s">
        <v>602</v>
      </c>
      <c r="AG25" s="105" t="s">
        <v>603</v>
      </c>
      <c r="AO25" s="135">
        <f t="shared" si="0"/>
        <v>24</v>
      </c>
      <c r="AP25" s="138">
        <f t="shared" si="2"/>
        <v>46105</v>
      </c>
      <c r="AQ25" s="139" t="str">
        <f t="shared" si="1"/>
        <v>Tue</v>
      </c>
      <c r="AR25" s="135" t="s">
        <v>614</v>
      </c>
      <c r="AS25" s="134">
        <v>15</v>
      </c>
      <c r="AT25" s="134"/>
      <c r="AU25" s="134">
        <v>15</v>
      </c>
      <c r="AV25" s="130"/>
      <c r="BD25" s="105" t="str">
        <f>RIGHT(Type_DT_OB[[#This Row],[Nama DT]],3)</f>
        <v>561</v>
      </c>
      <c r="BE25" s="105" t="s">
        <v>408</v>
      </c>
      <c r="BF25" s="105">
        <v>14.5</v>
      </c>
      <c r="BG25" s="105">
        <v>9</v>
      </c>
      <c r="BH25" s="105" t="s">
        <v>384</v>
      </c>
      <c r="BI25" s="105" t="s">
        <v>385</v>
      </c>
      <c r="BK25" s="105" t="str">
        <f>RIGHT(Type_mud[[#This Row],[Nama DT]],3)</f>
        <v>561</v>
      </c>
      <c r="BL25" s="105" t="s">
        <v>408</v>
      </c>
      <c r="BM25" s="105" t="s">
        <v>580</v>
      </c>
    </row>
    <row r="26" spans="1:65" ht="14.4">
      <c r="A26" s="105">
        <v>3</v>
      </c>
      <c r="B26" s="125">
        <v>1</v>
      </c>
      <c r="C26" s="105" t="s">
        <v>450</v>
      </c>
      <c r="D26" s="105" t="s">
        <v>746</v>
      </c>
      <c r="E26" s="105" t="s">
        <v>729</v>
      </c>
      <c r="F26" s="105">
        <v>15</v>
      </c>
      <c r="G26" s="105">
        <v>13.5</v>
      </c>
      <c r="H26" s="105">
        <v>202.5</v>
      </c>
      <c r="I26" s="105" t="s">
        <v>106</v>
      </c>
      <c r="J26" s="105" t="s">
        <v>729</v>
      </c>
      <c r="K26" s="105">
        <v>800</v>
      </c>
      <c r="L26" s="105" t="s">
        <v>730</v>
      </c>
      <c r="M26" s="105">
        <f>OB_Act[[#This Row],[Volume (BCM)]]*OB_Act[[#This Row],[Distance (Meter)]]</f>
        <v>162000</v>
      </c>
      <c r="N26" s="105" t="str">
        <f>LEFT(OB_Act[[#This Row],[Dump Truck]],3)</f>
        <v>SNS</v>
      </c>
      <c r="O26" s="126" t="str">
        <f>OB_Act[[#This Row],[Day]]&amp;OB_Act[[#This Row],[Excavator]]&amp;OB_Act[[#This Row],[Contractor]]&amp;OB_Act[[#This Row],[Pit]]&amp;OB_Act[[#This Row],[Shift]]</f>
        <v>3SNS-EX520-240SNSPIT M4EW1</v>
      </c>
      <c r="P26" s="126">
        <f>1/COUNTIF(OB_Act[Dummy_Exc],OB_Act[[#This Row],[Dummy_Exc]])</f>
        <v>0.2</v>
      </c>
      <c r="Q26" s="105" t="str">
        <f>OB_Act[[#This Row],[Day]]&amp;OB_Act[[#This Row],[Dump Truck]]&amp;OB_Act[[#This Row],[Pit]]&amp;OB_Act[[#This Row],[Shift]]</f>
        <v>3SNS-SN605PIT M4EW1</v>
      </c>
      <c r="R26" s="126">
        <f>1/COUNTIF(OB_Act[Dummy_DT],OB_Act[[#This Row],[Dummy_DT]])</f>
        <v>1</v>
      </c>
      <c r="S26" s="126">
        <f>OB_Act[[#This Row],[Distance (Meter)]]*OB_Act[[#This Row],[Volume (BCM)]]</f>
        <v>162000</v>
      </c>
      <c r="T26" s="105" t="str">
        <f>OB_Act[[#This Row],[Day]]&amp;OB_Act[[#This Row],[Dump Truck]]&amp;OB_Act[[#This Row],[Contractor]]&amp;OB_Act[[#This Row],[Excavator]]&amp;OB_Act[[#This Row],[Shift]]</f>
        <v>3SNS-SN605SNSSNS-EX520-2401</v>
      </c>
      <c r="U26" s="126">
        <f>1/COUNTIF(OB_Act[Dummy_DT/Exc],OB_Act[[#This Row],[Dummy_DT/Exc]])</f>
        <v>1</v>
      </c>
      <c r="V26" s="126" t="str">
        <f>VLOOKUP(OB_Act[[#This Row],[Day]],$AO$2:$AR$32,4,0)</f>
        <v>Week I</v>
      </c>
      <c r="W26" s="126" t="str">
        <f>VLOOKUP(OB_Act[[#This Row],[Dump Area]],$AE$2:$AF$51,2,0)</f>
        <v>M4EW</v>
      </c>
      <c r="X26" s="126" t="str">
        <f>OB_Act[[#This Row],[Excavator]]&amp;OB_Act[[#This Row],[Contractor]]</f>
        <v>SNS-EX520-240SNS</v>
      </c>
      <c r="Y26" s="126" t="str">
        <f>IF(OB_Act[[#This Row],[Material]]="MUD",VLOOKUP(OB_Act[[#This Row],[Dump Truck]],Type_mud[[Nama DT]:[Type]],2,0),VLOOKUP(OB_Act[[#This Row],[Dump Truck]],Type_DT_OB[[Nama DT]:[Type]],4,0))</f>
        <v>SNS-VOLVO-35T</v>
      </c>
      <c r="Z26" s="126" t="str">
        <f>"JBG-OP1-CENTRAL-"&amp;VLOOKUP(OB_Act[[#This Row],[Pit]],$AK$2:$AL$9,2,0)&amp;"-WASTE-"&amp;OB_Act[[#This Row],[Material]]</f>
        <v>JBG-OP1-CENTRAL-M4EW-WASTE-OB-PAF</v>
      </c>
      <c r="AA26" s="126" t="str">
        <f>"JBG-DUMP1-"&amp;VLOOKUP(OB_Act[[#This Row],[Dump]],$AF$2:$AG$55,2,0)&amp;"-"&amp;OB_Act[[#This Row],[Material]]</f>
        <v>JBG-DUMP1-INPIT-M4EW-OB-PAF</v>
      </c>
      <c r="AB26" s="126" t="str">
        <f>"JBG-"&amp;OB_Act[[#This Row],[Material]]</f>
        <v>JBG-OB-PAF</v>
      </c>
      <c r="AE26" s="105" t="s">
        <v>617</v>
      </c>
      <c r="AF26" s="105" t="s">
        <v>602</v>
      </c>
      <c r="AG26" s="105" t="s">
        <v>603</v>
      </c>
      <c r="AO26" s="135">
        <f t="shared" si="0"/>
        <v>25</v>
      </c>
      <c r="AP26" s="138">
        <f t="shared" si="2"/>
        <v>46106</v>
      </c>
      <c r="AQ26" s="139" t="str">
        <f t="shared" si="1"/>
        <v>Wed</v>
      </c>
      <c r="AR26" s="135" t="s">
        <v>614</v>
      </c>
      <c r="AS26" s="134">
        <v>15</v>
      </c>
      <c r="AT26" s="134"/>
      <c r="AU26" s="134">
        <v>15</v>
      </c>
      <c r="AV26" s="130"/>
      <c r="BD26" s="105" t="str">
        <f>RIGHT(Type_DT_OB[[#This Row],[Nama DT]],3)</f>
        <v>541</v>
      </c>
      <c r="BE26" s="105" t="s">
        <v>731</v>
      </c>
      <c r="BF26" s="105">
        <v>14.5</v>
      </c>
      <c r="BG26" s="105">
        <v>9</v>
      </c>
      <c r="BH26" s="105" t="s">
        <v>384</v>
      </c>
      <c r="BI26" s="105" t="s">
        <v>385</v>
      </c>
      <c r="BK26" s="105" t="str">
        <f>RIGHT(Type_mud[[#This Row],[Nama DT]],3)</f>
        <v>562</v>
      </c>
      <c r="BL26" s="105" t="s">
        <v>409</v>
      </c>
      <c r="BM26" s="105" t="s">
        <v>580</v>
      </c>
    </row>
    <row r="27" spans="1:65" ht="14.4">
      <c r="A27" s="105">
        <v>3</v>
      </c>
      <c r="B27" s="125">
        <v>1</v>
      </c>
      <c r="C27" s="105" t="s">
        <v>453</v>
      </c>
      <c r="D27" s="105" t="s">
        <v>746</v>
      </c>
      <c r="E27" s="105" t="s">
        <v>729</v>
      </c>
      <c r="F27" s="105">
        <v>8</v>
      </c>
      <c r="G27" s="105">
        <v>13.5</v>
      </c>
      <c r="H27" s="105">
        <v>108</v>
      </c>
      <c r="I27" s="105" t="s">
        <v>106</v>
      </c>
      <c r="J27" s="105" t="s">
        <v>587</v>
      </c>
      <c r="K27" s="105">
        <v>800</v>
      </c>
      <c r="L27" s="105" t="s">
        <v>730</v>
      </c>
      <c r="M27" s="105">
        <f>OB_Act[[#This Row],[Volume (BCM)]]*OB_Act[[#This Row],[Distance (Meter)]]</f>
        <v>86400</v>
      </c>
      <c r="N27" s="105" t="str">
        <f>LEFT(OB_Act[[#This Row],[Dump Truck]],3)</f>
        <v>SNS</v>
      </c>
      <c r="O27" s="126" t="str">
        <f>OB_Act[[#This Row],[Day]]&amp;OB_Act[[#This Row],[Excavator]]&amp;OB_Act[[#This Row],[Contractor]]&amp;OB_Act[[#This Row],[Pit]]&amp;OB_Act[[#This Row],[Shift]]</f>
        <v>3SNS-EX520-240SNSPIT M4EW1</v>
      </c>
      <c r="P27" s="126">
        <f>1/COUNTIF(OB_Act[Dummy_Exc],OB_Act[[#This Row],[Dummy_Exc]])</f>
        <v>0.2</v>
      </c>
      <c r="Q27" s="105" t="str">
        <f>OB_Act[[#This Row],[Day]]&amp;OB_Act[[#This Row],[Dump Truck]]&amp;OB_Act[[#This Row],[Pit]]&amp;OB_Act[[#This Row],[Shift]]</f>
        <v>3SNS-SN608PIT M4EW1</v>
      </c>
      <c r="R27" s="126">
        <f>1/COUNTIF(OB_Act[Dummy_DT],OB_Act[[#This Row],[Dummy_DT]])</f>
        <v>1</v>
      </c>
      <c r="S27" s="126">
        <f>OB_Act[[#This Row],[Distance (Meter)]]*OB_Act[[#This Row],[Volume (BCM)]]</f>
        <v>86400</v>
      </c>
      <c r="T27" s="105" t="str">
        <f>OB_Act[[#This Row],[Day]]&amp;OB_Act[[#This Row],[Dump Truck]]&amp;OB_Act[[#This Row],[Contractor]]&amp;OB_Act[[#This Row],[Excavator]]&amp;OB_Act[[#This Row],[Shift]]</f>
        <v>3SNS-SN608SNSSNS-EX520-2401</v>
      </c>
      <c r="U27" s="126">
        <f>1/COUNTIF(OB_Act[Dummy_DT/Exc],OB_Act[[#This Row],[Dummy_DT/Exc]])</f>
        <v>1</v>
      </c>
      <c r="V27" s="126" t="str">
        <f>VLOOKUP(OB_Act[[#This Row],[Day]],$AO$2:$AR$32,4,0)</f>
        <v>Week I</v>
      </c>
      <c r="W27" s="126" t="str">
        <f>VLOOKUP(OB_Act[[#This Row],[Dump Area]],$AE$2:$AF$51,2,0)</f>
        <v>M45C</v>
      </c>
      <c r="X27" s="126" t="str">
        <f>OB_Act[[#This Row],[Excavator]]&amp;OB_Act[[#This Row],[Contractor]]</f>
        <v>SNS-EX520-240SNS</v>
      </c>
      <c r="Y27" s="126" t="str">
        <f>IF(OB_Act[[#This Row],[Material]]="MUD",VLOOKUP(OB_Act[[#This Row],[Dump Truck]],Type_mud[[Nama DT]:[Type]],2,0),VLOOKUP(OB_Act[[#This Row],[Dump Truck]],Type_DT_OB[[Nama DT]:[Type]],4,0))</f>
        <v>SNS-HINO-30T</v>
      </c>
      <c r="Z27" s="126" t="str">
        <f>"JBG-OP1-CENTRAL-"&amp;VLOOKUP(OB_Act[[#This Row],[Pit]],$AK$2:$AL$9,2,0)&amp;"-WASTE-"&amp;OB_Act[[#This Row],[Material]]</f>
        <v>JBG-OP1-CENTRAL-M4EW-WASTE-OB-PAF</v>
      </c>
      <c r="AA27" s="126" t="str">
        <f>"JBG-DUMP1-"&amp;VLOOKUP(OB_Act[[#This Row],[Dump]],$AF$2:$AG$55,2,0)&amp;"-"&amp;OB_Act[[#This Row],[Material]]</f>
        <v>JBG-DUMP1-INPIT-M45C-OB-PAF</v>
      </c>
      <c r="AB27" s="126" t="str">
        <f>"JBG-"&amp;OB_Act[[#This Row],[Material]]</f>
        <v>JBG-OB-PAF</v>
      </c>
      <c r="AE27" s="105" t="s">
        <v>618</v>
      </c>
      <c r="AF27" s="105" t="s">
        <v>602</v>
      </c>
      <c r="AG27" s="105" t="s">
        <v>603</v>
      </c>
      <c r="AO27" s="135">
        <f t="shared" si="0"/>
        <v>26</v>
      </c>
      <c r="AP27" s="138">
        <f t="shared" si="2"/>
        <v>46107</v>
      </c>
      <c r="AQ27" s="139" t="str">
        <f t="shared" si="1"/>
        <v>Thu</v>
      </c>
      <c r="AR27" s="135" t="s">
        <v>614</v>
      </c>
      <c r="AS27" s="134">
        <v>15</v>
      </c>
      <c r="AT27" s="134"/>
      <c r="AU27" s="134">
        <v>15</v>
      </c>
      <c r="AV27" s="130"/>
      <c r="BD27" s="105" t="str">
        <f>RIGHT(Type_DT_OB[[#This Row],[Nama DT]],3)</f>
        <v>563</v>
      </c>
      <c r="BE27" s="105" t="s">
        <v>410</v>
      </c>
      <c r="BF27" s="105">
        <v>14.5</v>
      </c>
      <c r="BG27" s="105">
        <v>9</v>
      </c>
      <c r="BH27" s="105" t="s">
        <v>384</v>
      </c>
      <c r="BI27" s="105" t="s">
        <v>385</v>
      </c>
      <c r="BK27" s="105" t="str">
        <f>RIGHT(Type_mud[[#This Row],[Nama DT]],3)</f>
        <v>563</v>
      </c>
      <c r="BL27" s="105" t="s">
        <v>410</v>
      </c>
      <c r="BM27" s="105" t="s">
        <v>580</v>
      </c>
    </row>
    <row r="28" spans="1:65" ht="14.4">
      <c r="A28" s="105">
        <v>4</v>
      </c>
      <c r="B28" s="125">
        <v>1</v>
      </c>
      <c r="C28" s="105" t="s">
        <v>416</v>
      </c>
      <c r="D28" s="105" t="s">
        <v>745</v>
      </c>
      <c r="E28" s="105" t="s">
        <v>729</v>
      </c>
      <c r="F28" s="105">
        <v>7</v>
      </c>
      <c r="G28" s="105">
        <v>13.5</v>
      </c>
      <c r="H28" s="105">
        <v>94.5</v>
      </c>
      <c r="I28" s="105" t="s">
        <v>109</v>
      </c>
      <c r="J28" s="105" t="s">
        <v>742</v>
      </c>
      <c r="K28" s="105">
        <v>3600</v>
      </c>
      <c r="L28" s="105" t="s">
        <v>730</v>
      </c>
      <c r="M28" s="105">
        <f>OB_Act[[#This Row],[Volume (BCM)]]*OB_Act[[#This Row],[Distance (Meter)]]</f>
        <v>340200</v>
      </c>
      <c r="N28" s="105" t="str">
        <f>LEFT(OB_Act[[#This Row],[Dump Truck]],3)</f>
        <v>SNS</v>
      </c>
      <c r="O28" s="126" t="str">
        <f>OB_Act[[#This Row],[Day]]&amp;OB_Act[[#This Row],[Excavator]]&amp;OB_Act[[#This Row],[Contractor]]&amp;OB_Act[[#This Row],[Pit]]&amp;OB_Act[[#This Row],[Shift]]</f>
        <v>4SNS-EX520-242SNSPIT M4EW1</v>
      </c>
      <c r="P28" s="126">
        <f>1/COUNTIF(OB_Act[Dummy_Exc],OB_Act[[#This Row],[Dummy_Exc]])</f>
        <v>0.25</v>
      </c>
      <c r="Q28" s="105" t="str">
        <f>OB_Act[[#This Row],[Day]]&amp;OB_Act[[#This Row],[Dump Truck]]&amp;OB_Act[[#This Row],[Pit]]&amp;OB_Act[[#This Row],[Shift]]</f>
        <v>4SNS-SN569PIT M4EW1</v>
      </c>
      <c r="R28" s="126">
        <f>1/COUNTIF(OB_Act[Dummy_DT],OB_Act[[#This Row],[Dummy_DT]])</f>
        <v>1</v>
      </c>
      <c r="S28" s="126">
        <f>OB_Act[[#This Row],[Distance (Meter)]]*OB_Act[[#This Row],[Volume (BCM)]]</f>
        <v>340200</v>
      </c>
      <c r="T28" s="105" t="str">
        <f>OB_Act[[#This Row],[Day]]&amp;OB_Act[[#This Row],[Dump Truck]]&amp;OB_Act[[#This Row],[Contractor]]&amp;OB_Act[[#This Row],[Excavator]]&amp;OB_Act[[#This Row],[Shift]]</f>
        <v>4SNS-SN569SNSSNS-EX520-2421</v>
      </c>
      <c r="U28" s="126">
        <f>1/COUNTIF(OB_Act[Dummy_DT/Exc],OB_Act[[#This Row],[Dummy_DT/Exc]])</f>
        <v>1</v>
      </c>
      <c r="V28" s="126" t="str">
        <f>VLOOKUP(OB_Act[[#This Row],[Day]],$AO$2:$AR$32,4,0)</f>
        <v>Week I</v>
      </c>
      <c r="W28" s="126" t="e">
        <f>VLOOKUP(OB_Act[[#This Row],[Dump Area]],$AE$2:$AF$51,2,0)</f>
        <v>#N/A</v>
      </c>
      <c r="X28" s="126" t="str">
        <f>OB_Act[[#This Row],[Excavator]]&amp;OB_Act[[#This Row],[Contractor]]</f>
        <v>SNS-EX520-242SNS</v>
      </c>
      <c r="Y28" s="126" t="str">
        <f>IF(OB_Act[[#This Row],[Material]]="MUD",VLOOKUP(OB_Act[[#This Row],[Dump Truck]],Type_mud[[Nama DT]:[Type]],2,0),VLOOKUP(OB_Act[[#This Row],[Dump Truck]],Type_DT_OB[[Nama DT]:[Type]],4,0))</f>
        <v>SNS-HINO-30T</v>
      </c>
      <c r="Z28" s="126" t="str">
        <f>"JBG-OP1-CENTRAL-"&amp;VLOOKUP(OB_Act[[#This Row],[Pit]],$AK$2:$AL$9,2,0)&amp;"-WASTE-"&amp;OB_Act[[#This Row],[Material]]</f>
        <v>JBG-OP1-CENTRAL-M4EW-WASTE-TS</v>
      </c>
      <c r="AA28" s="126" t="e">
        <f>"JBG-DUMP1-"&amp;VLOOKUP(OB_Act[[#This Row],[Dump]],$AF$2:$AG$55,2,0)&amp;"-"&amp;OB_Act[[#This Row],[Material]]</f>
        <v>#N/A</v>
      </c>
      <c r="AB28" s="126" t="str">
        <f>"JBG-"&amp;OB_Act[[#This Row],[Material]]</f>
        <v>JBG-TS</v>
      </c>
      <c r="AE28" s="105" t="s">
        <v>619</v>
      </c>
      <c r="AF28" s="105" t="s">
        <v>602</v>
      </c>
      <c r="AG28" s="105" t="s">
        <v>603</v>
      </c>
      <c r="AO28" s="135">
        <f t="shared" si="0"/>
        <v>27</v>
      </c>
      <c r="AP28" s="138">
        <f t="shared" si="2"/>
        <v>46108</v>
      </c>
      <c r="AQ28" s="139" t="str">
        <f t="shared" si="1"/>
        <v>Fri</v>
      </c>
      <c r="AR28" s="135" t="s">
        <v>614</v>
      </c>
      <c r="AS28" s="134">
        <v>15</v>
      </c>
      <c r="AT28" s="134"/>
      <c r="AU28" s="134">
        <v>15</v>
      </c>
      <c r="AV28" s="130"/>
      <c r="BD28" s="105" t="str">
        <f>RIGHT(Type_DT_OB[[#This Row],[Nama DT]],3)</f>
        <v>564</v>
      </c>
      <c r="BE28" s="105" t="s">
        <v>411</v>
      </c>
      <c r="BF28" s="105">
        <v>14.5</v>
      </c>
      <c r="BG28" s="105">
        <v>9</v>
      </c>
      <c r="BH28" s="105" t="s">
        <v>384</v>
      </c>
      <c r="BI28" s="105" t="s">
        <v>385</v>
      </c>
      <c r="BK28" s="105" t="str">
        <f>RIGHT(Type_mud[[#This Row],[Nama DT]],3)</f>
        <v>564</v>
      </c>
      <c r="BL28" s="105" t="s">
        <v>411</v>
      </c>
      <c r="BM28" s="105" t="s">
        <v>580</v>
      </c>
    </row>
    <row r="29" spans="1:65" ht="14.4">
      <c r="A29" s="105">
        <v>4</v>
      </c>
      <c r="B29" s="125">
        <v>1</v>
      </c>
      <c r="C29" s="105" t="s">
        <v>451</v>
      </c>
      <c r="D29" s="105" t="s">
        <v>745</v>
      </c>
      <c r="E29" s="105" t="s">
        <v>729</v>
      </c>
      <c r="F29" s="105">
        <v>9</v>
      </c>
      <c r="G29" s="105">
        <v>13.5</v>
      </c>
      <c r="H29" s="105">
        <v>121.5</v>
      </c>
      <c r="I29" s="105" t="s">
        <v>109</v>
      </c>
      <c r="J29" s="105" t="s">
        <v>742</v>
      </c>
      <c r="K29" s="105">
        <v>3600</v>
      </c>
      <c r="L29" s="105" t="s">
        <v>730</v>
      </c>
      <c r="M29" s="105">
        <f>OB_Act[[#This Row],[Volume (BCM)]]*OB_Act[[#This Row],[Distance (Meter)]]</f>
        <v>437400</v>
      </c>
      <c r="N29" s="105" t="str">
        <f>LEFT(OB_Act[[#This Row],[Dump Truck]],3)</f>
        <v>SNS</v>
      </c>
      <c r="O29" s="126" t="str">
        <f>OB_Act[[#This Row],[Day]]&amp;OB_Act[[#This Row],[Excavator]]&amp;OB_Act[[#This Row],[Contractor]]&amp;OB_Act[[#This Row],[Pit]]&amp;OB_Act[[#This Row],[Shift]]</f>
        <v>4SNS-EX520-242SNSPIT M4EW1</v>
      </c>
      <c r="P29" s="126">
        <f>1/COUNTIF(OB_Act[Dummy_Exc],OB_Act[[#This Row],[Dummy_Exc]])</f>
        <v>0.25</v>
      </c>
      <c r="Q29" s="105" t="str">
        <f>OB_Act[[#This Row],[Day]]&amp;OB_Act[[#This Row],[Dump Truck]]&amp;OB_Act[[#This Row],[Pit]]&amp;OB_Act[[#This Row],[Shift]]</f>
        <v>4SNS-SN606PIT M4EW1</v>
      </c>
      <c r="R29" s="126">
        <f>1/COUNTIF(OB_Act[Dummy_DT],OB_Act[[#This Row],[Dummy_DT]])</f>
        <v>1</v>
      </c>
      <c r="S29" s="126">
        <f>OB_Act[[#This Row],[Distance (Meter)]]*OB_Act[[#This Row],[Volume (BCM)]]</f>
        <v>437400</v>
      </c>
      <c r="T29" s="105" t="str">
        <f>OB_Act[[#This Row],[Day]]&amp;OB_Act[[#This Row],[Dump Truck]]&amp;OB_Act[[#This Row],[Contractor]]&amp;OB_Act[[#This Row],[Excavator]]&amp;OB_Act[[#This Row],[Shift]]</f>
        <v>4SNS-SN606SNSSNS-EX520-2421</v>
      </c>
      <c r="U29" s="126">
        <f>1/COUNTIF(OB_Act[Dummy_DT/Exc],OB_Act[[#This Row],[Dummy_DT/Exc]])</f>
        <v>1</v>
      </c>
      <c r="V29" s="126" t="str">
        <f>VLOOKUP(OB_Act[[#This Row],[Day]],$AO$2:$AR$32,4,0)</f>
        <v>Week I</v>
      </c>
      <c r="W29" s="126" t="e">
        <f>VLOOKUP(OB_Act[[#This Row],[Dump Area]],$AE$2:$AF$51,2,0)</f>
        <v>#N/A</v>
      </c>
      <c r="X29" s="126" t="str">
        <f>OB_Act[[#This Row],[Excavator]]&amp;OB_Act[[#This Row],[Contractor]]</f>
        <v>SNS-EX520-242SNS</v>
      </c>
      <c r="Y29" s="126" t="str">
        <f>IF(OB_Act[[#This Row],[Material]]="MUD",VLOOKUP(OB_Act[[#This Row],[Dump Truck]],Type_mud[[Nama DT]:[Type]],2,0),VLOOKUP(OB_Act[[#This Row],[Dump Truck]],Type_DT_OB[[Nama DT]:[Type]],4,0))</f>
        <v>SNS-VOLVO-35T</v>
      </c>
      <c r="Z29" s="126" t="str">
        <f>"JBG-OP1-CENTRAL-"&amp;VLOOKUP(OB_Act[[#This Row],[Pit]],$AK$2:$AL$9,2,0)&amp;"-WASTE-"&amp;OB_Act[[#This Row],[Material]]</f>
        <v>JBG-OP1-CENTRAL-M4EW-WASTE-TS</v>
      </c>
      <c r="AA29" s="126" t="e">
        <f>"JBG-DUMP1-"&amp;VLOOKUP(OB_Act[[#This Row],[Dump]],$AF$2:$AG$55,2,0)&amp;"-"&amp;OB_Act[[#This Row],[Material]]</f>
        <v>#N/A</v>
      </c>
      <c r="AB29" s="126" t="str">
        <f>"JBG-"&amp;OB_Act[[#This Row],[Material]]</f>
        <v>JBG-TS</v>
      </c>
      <c r="AE29" s="105" t="s">
        <v>621</v>
      </c>
      <c r="AF29" s="105" t="s">
        <v>602</v>
      </c>
      <c r="AG29" s="105" t="s">
        <v>603</v>
      </c>
      <c r="AO29" s="135">
        <f t="shared" si="0"/>
        <v>28</v>
      </c>
      <c r="AP29" s="138">
        <f t="shared" si="2"/>
        <v>46109</v>
      </c>
      <c r="AQ29" s="139" t="str">
        <f t="shared" si="1"/>
        <v>Sat</v>
      </c>
      <c r="AR29" s="135" t="s">
        <v>614</v>
      </c>
      <c r="AS29" s="134">
        <v>15</v>
      </c>
      <c r="AT29" s="134"/>
      <c r="AU29" s="134">
        <v>15</v>
      </c>
      <c r="AV29" s="130"/>
      <c r="BD29" s="105" t="str">
        <f>RIGHT(Type_DT_OB[[#This Row],[Nama DT]],3)</f>
        <v>565</v>
      </c>
      <c r="BE29" s="105" t="s">
        <v>412</v>
      </c>
      <c r="BF29" s="105">
        <v>14.5</v>
      </c>
      <c r="BG29" s="105">
        <v>9</v>
      </c>
      <c r="BH29" s="105" t="s">
        <v>384</v>
      </c>
      <c r="BI29" s="105" t="s">
        <v>385</v>
      </c>
      <c r="BK29" s="105" t="str">
        <f>RIGHT(Type_mud[[#This Row],[Nama DT]],3)</f>
        <v>565</v>
      </c>
      <c r="BL29" s="105" t="s">
        <v>412</v>
      </c>
      <c r="BM29" s="105" t="s">
        <v>580</v>
      </c>
    </row>
    <row r="30" spans="1:65" ht="14.4">
      <c r="A30" s="105">
        <v>4</v>
      </c>
      <c r="B30" s="125">
        <v>1</v>
      </c>
      <c r="C30" s="105" t="s">
        <v>425</v>
      </c>
      <c r="D30" s="105" t="s">
        <v>745</v>
      </c>
      <c r="E30" s="105" t="s">
        <v>729</v>
      </c>
      <c r="F30" s="105">
        <v>9</v>
      </c>
      <c r="G30" s="105">
        <v>13.5</v>
      </c>
      <c r="H30" s="105">
        <v>121.5</v>
      </c>
      <c r="I30" s="105" t="s">
        <v>109</v>
      </c>
      <c r="J30" s="105" t="s">
        <v>742</v>
      </c>
      <c r="K30" s="105">
        <v>3600</v>
      </c>
      <c r="L30" s="105" t="s">
        <v>730</v>
      </c>
      <c r="M30" s="105">
        <f>OB_Act[[#This Row],[Volume (BCM)]]*OB_Act[[#This Row],[Distance (Meter)]]</f>
        <v>437400</v>
      </c>
      <c r="N30" s="105" t="str">
        <f>LEFT(OB_Act[[#This Row],[Dump Truck]],3)</f>
        <v>SNS</v>
      </c>
      <c r="O30" s="126" t="str">
        <f>OB_Act[[#This Row],[Day]]&amp;OB_Act[[#This Row],[Excavator]]&amp;OB_Act[[#This Row],[Contractor]]&amp;OB_Act[[#This Row],[Pit]]&amp;OB_Act[[#This Row],[Shift]]</f>
        <v>4SNS-EX520-242SNSPIT M4EW1</v>
      </c>
      <c r="P30" s="126">
        <f>1/COUNTIF(OB_Act[Dummy_Exc],OB_Act[[#This Row],[Dummy_Exc]])</f>
        <v>0.25</v>
      </c>
      <c r="Q30" s="105" t="str">
        <f>OB_Act[[#This Row],[Day]]&amp;OB_Act[[#This Row],[Dump Truck]]&amp;OB_Act[[#This Row],[Pit]]&amp;OB_Act[[#This Row],[Shift]]</f>
        <v>4SNS-SN578PIT M4EW1</v>
      </c>
      <c r="R30" s="126">
        <f>1/COUNTIF(OB_Act[Dummy_DT],OB_Act[[#This Row],[Dummy_DT]])</f>
        <v>1</v>
      </c>
      <c r="S30" s="126">
        <f>OB_Act[[#This Row],[Distance (Meter)]]*OB_Act[[#This Row],[Volume (BCM)]]</f>
        <v>437400</v>
      </c>
      <c r="T30" s="105" t="str">
        <f>OB_Act[[#This Row],[Day]]&amp;OB_Act[[#This Row],[Dump Truck]]&amp;OB_Act[[#This Row],[Contractor]]&amp;OB_Act[[#This Row],[Excavator]]&amp;OB_Act[[#This Row],[Shift]]</f>
        <v>4SNS-SN578SNSSNS-EX520-2421</v>
      </c>
      <c r="U30" s="126">
        <f>1/COUNTIF(OB_Act[Dummy_DT/Exc],OB_Act[[#This Row],[Dummy_DT/Exc]])</f>
        <v>1</v>
      </c>
      <c r="V30" s="126" t="str">
        <f>VLOOKUP(OB_Act[[#This Row],[Day]],$AO$2:$AR$32,4,0)</f>
        <v>Week I</v>
      </c>
      <c r="W30" s="126" t="e">
        <f>VLOOKUP(OB_Act[[#This Row],[Dump Area]],$AE$2:$AF$51,2,0)</f>
        <v>#N/A</v>
      </c>
      <c r="X30" s="126" t="str">
        <f>OB_Act[[#This Row],[Excavator]]&amp;OB_Act[[#This Row],[Contractor]]</f>
        <v>SNS-EX520-242SNS</v>
      </c>
      <c r="Y30" s="126" t="str">
        <f>IF(OB_Act[[#This Row],[Material]]="MUD",VLOOKUP(OB_Act[[#This Row],[Dump Truck]],Type_mud[[Nama DT]:[Type]],2,0),VLOOKUP(OB_Act[[#This Row],[Dump Truck]],Type_DT_OB[[Nama DT]:[Type]],4,0))</f>
        <v>SNS-HINO-30T</v>
      </c>
      <c r="Z30" s="126" t="str">
        <f>"JBG-OP1-CENTRAL-"&amp;VLOOKUP(OB_Act[[#This Row],[Pit]],$AK$2:$AL$9,2,0)&amp;"-WASTE-"&amp;OB_Act[[#This Row],[Material]]</f>
        <v>JBG-OP1-CENTRAL-M4EW-WASTE-TS</v>
      </c>
      <c r="AA30" s="126" t="e">
        <f>"JBG-DUMP1-"&amp;VLOOKUP(OB_Act[[#This Row],[Dump]],$AF$2:$AG$55,2,0)&amp;"-"&amp;OB_Act[[#This Row],[Material]]</f>
        <v>#N/A</v>
      </c>
      <c r="AB30" s="126" t="str">
        <f>"JBG-"&amp;OB_Act[[#This Row],[Material]]</f>
        <v>JBG-TS</v>
      </c>
      <c r="AE30" s="105" t="s">
        <v>622</v>
      </c>
      <c r="AF30" s="105" t="s">
        <v>602</v>
      </c>
      <c r="AG30" s="105" t="s">
        <v>603</v>
      </c>
      <c r="AO30" s="135">
        <f t="shared" si="0"/>
        <v>29</v>
      </c>
      <c r="AP30" s="138">
        <f t="shared" si="2"/>
        <v>46110</v>
      </c>
      <c r="AQ30" s="139" t="str">
        <f t="shared" si="1"/>
        <v>Sun</v>
      </c>
      <c r="AR30" s="135" t="s">
        <v>614</v>
      </c>
      <c r="AS30" s="134">
        <v>15</v>
      </c>
      <c r="AT30" s="134"/>
      <c r="AU30" s="134">
        <v>15</v>
      </c>
      <c r="AV30" s="130"/>
      <c r="BD30" s="105" t="str">
        <f>RIGHT(Type_DT_OB[[#This Row],[Nama DT]],3)</f>
        <v>566</v>
      </c>
      <c r="BE30" s="105" t="s">
        <v>413</v>
      </c>
      <c r="BF30" s="105">
        <v>14.5</v>
      </c>
      <c r="BG30" s="105">
        <v>9</v>
      </c>
      <c r="BH30" s="105" t="s">
        <v>384</v>
      </c>
      <c r="BI30" s="105" t="s">
        <v>385</v>
      </c>
      <c r="BK30" s="105" t="str">
        <f>RIGHT(Type_mud[[#This Row],[Nama DT]],3)</f>
        <v>566</v>
      </c>
      <c r="BL30" s="105" t="s">
        <v>413</v>
      </c>
      <c r="BM30" s="105" t="s">
        <v>580</v>
      </c>
    </row>
    <row r="31" spans="1:65" ht="14.4">
      <c r="A31" s="105">
        <v>4</v>
      </c>
      <c r="B31" s="125">
        <v>1</v>
      </c>
      <c r="C31" s="105" t="s">
        <v>453</v>
      </c>
      <c r="D31" s="105" t="s">
        <v>745</v>
      </c>
      <c r="E31" s="105" t="s">
        <v>729</v>
      </c>
      <c r="F31" s="105">
        <v>10</v>
      </c>
      <c r="G31" s="105">
        <v>13.5</v>
      </c>
      <c r="H31" s="105">
        <v>135</v>
      </c>
      <c r="I31" s="105" t="s">
        <v>109</v>
      </c>
      <c r="J31" s="105" t="s">
        <v>742</v>
      </c>
      <c r="K31" s="105">
        <v>3600</v>
      </c>
      <c r="L31" s="105" t="s">
        <v>730</v>
      </c>
      <c r="M31" s="105">
        <f>OB_Act[[#This Row],[Volume (BCM)]]*OB_Act[[#This Row],[Distance (Meter)]]</f>
        <v>486000</v>
      </c>
      <c r="N31" s="105" t="str">
        <f>LEFT(OB_Act[[#This Row],[Dump Truck]],3)</f>
        <v>SNS</v>
      </c>
      <c r="O31" s="126" t="str">
        <f>OB_Act[[#This Row],[Day]]&amp;OB_Act[[#This Row],[Excavator]]&amp;OB_Act[[#This Row],[Contractor]]&amp;OB_Act[[#This Row],[Pit]]&amp;OB_Act[[#This Row],[Shift]]</f>
        <v>4SNS-EX520-242SNSPIT M4EW1</v>
      </c>
      <c r="P31" s="126">
        <f>1/COUNTIF(OB_Act[Dummy_Exc],OB_Act[[#This Row],[Dummy_Exc]])</f>
        <v>0.25</v>
      </c>
      <c r="Q31" s="105" t="str">
        <f>OB_Act[[#This Row],[Day]]&amp;OB_Act[[#This Row],[Dump Truck]]&amp;OB_Act[[#This Row],[Pit]]&amp;OB_Act[[#This Row],[Shift]]</f>
        <v>4SNS-SN608PIT M4EW1</v>
      </c>
      <c r="R31" s="126">
        <f>1/COUNTIF(OB_Act[Dummy_DT],OB_Act[[#This Row],[Dummy_DT]])</f>
        <v>1</v>
      </c>
      <c r="S31" s="126">
        <f>OB_Act[[#This Row],[Distance (Meter)]]*OB_Act[[#This Row],[Volume (BCM)]]</f>
        <v>486000</v>
      </c>
      <c r="T31" s="105" t="str">
        <f>OB_Act[[#This Row],[Day]]&amp;OB_Act[[#This Row],[Dump Truck]]&amp;OB_Act[[#This Row],[Contractor]]&amp;OB_Act[[#This Row],[Excavator]]&amp;OB_Act[[#This Row],[Shift]]</f>
        <v>4SNS-SN608SNSSNS-EX520-2421</v>
      </c>
      <c r="U31" s="126">
        <f>1/COUNTIF(OB_Act[Dummy_DT/Exc],OB_Act[[#This Row],[Dummy_DT/Exc]])</f>
        <v>1</v>
      </c>
      <c r="V31" s="126" t="str">
        <f>VLOOKUP(OB_Act[[#This Row],[Day]],$AO$2:$AR$32,4,0)</f>
        <v>Week I</v>
      </c>
      <c r="W31" s="126" t="e">
        <f>VLOOKUP(OB_Act[[#This Row],[Dump Area]],$AE$2:$AF$51,2,0)</f>
        <v>#N/A</v>
      </c>
      <c r="X31" s="126" t="str">
        <f>OB_Act[[#This Row],[Excavator]]&amp;OB_Act[[#This Row],[Contractor]]</f>
        <v>SNS-EX520-242SNS</v>
      </c>
      <c r="Y31" s="126" t="str">
        <f>IF(OB_Act[[#This Row],[Material]]="MUD",VLOOKUP(OB_Act[[#This Row],[Dump Truck]],Type_mud[[Nama DT]:[Type]],2,0),VLOOKUP(OB_Act[[#This Row],[Dump Truck]],Type_DT_OB[[Nama DT]:[Type]],4,0))</f>
        <v>SNS-HINO-30T</v>
      </c>
      <c r="Z31" s="126" t="str">
        <f>"JBG-OP1-CENTRAL-"&amp;VLOOKUP(OB_Act[[#This Row],[Pit]],$AK$2:$AL$9,2,0)&amp;"-WASTE-"&amp;OB_Act[[#This Row],[Material]]</f>
        <v>JBG-OP1-CENTRAL-M4EW-WASTE-TS</v>
      </c>
      <c r="AA31" s="126" t="e">
        <f>"JBG-DUMP1-"&amp;VLOOKUP(OB_Act[[#This Row],[Dump]],$AF$2:$AG$55,2,0)&amp;"-"&amp;OB_Act[[#This Row],[Material]]</f>
        <v>#N/A</v>
      </c>
      <c r="AB31" s="126" t="str">
        <f>"JBG-"&amp;OB_Act[[#This Row],[Material]]</f>
        <v>JBG-TS</v>
      </c>
      <c r="AE31" s="105" t="s">
        <v>623</v>
      </c>
      <c r="AF31" s="132" t="s">
        <v>591</v>
      </c>
      <c r="AG31" s="132" t="s">
        <v>592</v>
      </c>
      <c r="AO31" s="135">
        <f t="shared" si="0"/>
        <v>30</v>
      </c>
      <c r="AP31" s="138">
        <f t="shared" si="2"/>
        <v>46111</v>
      </c>
      <c r="AQ31" s="139" t="str">
        <f t="shared" si="1"/>
        <v>Mon</v>
      </c>
      <c r="AR31" s="135" t="s">
        <v>614</v>
      </c>
      <c r="AS31" s="134">
        <v>15</v>
      </c>
      <c r="AT31" s="134"/>
      <c r="AU31" s="134">
        <v>15</v>
      </c>
      <c r="AV31" s="130"/>
      <c r="BD31" s="105" t="str">
        <f>RIGHT(Type_DT_OB[[#This Row],[Nama DT]],3)</f>
        <v>567</v>
      </c>
      <c r="BE31" s="105" t="s">
        <v>414</v>
      </c>
      <c r="BF31" s="105">
        <v>14.5</v>
      </c>
      <c r="BG31" s="105">
        <v>9</v>
      </c>
      <c r="BH31" s="105" t="s">
        <v>384</v>
      </c>
      <c r="BI31" s="105" t="s">
        <v>385</v>
      </c>
      <c r="BK31" s="105" t="str">
        <f>RIGHT(Type_mud[[#This Row],[Nama DT]],3)</f>
        <v>567</v>
      </c>
      <c r="BL31" s="105" t="s">
        <v>414</v>
      </c>
      <c r="BM31" s="105" t="s">
        <v>580</v>
      </c>
    </row>
    <row r="32" spans="1:65" ht="14.4">
      <c r="A32" s="105">
        <v>4</v>
      </c>
      <c r="B32" s="125">
        <v>1</v>
      </c>
      <c r="C32" s="105" t="s">
        <v>449</v>
      </c>
      <c r="D32" s="105" t="s">
        <v>746</v>
      </c>
      <c r="E32" s="105" t="s">
        <v>729</v>
      </c>
      <c r="F32" s="105">
        <v>19</v>
      </c>
      <c r="G32" s="105">
        <v>13.5</v>
      </c>
      <c r="H32" s="105">
        <v>256.5</v>
      </c>
      <c r="I32" s="105" t="s">
        <v>106</v>
      </c>
      <c r="J32" s="105" t="s">
        <v>729</v>
      </c>
      <c r="K32" s="105">
        <v>800</v>
      </c>
      <c r="L32" s="105" t="s">
        <v>730</v>
      </c>
      <c r="M32" s="105">
        <f>OB_Act[[#This Row],[Volume (BCM)]]*OB_Act[[#This Row],[Distance (Meter)]]</f>
        <v>205200</v>
      </c>
      <c r="N32" s="105" t="str">
        <f>LEFT(OB_Act[[#This Row],[Dump Truck]],3)</f>
        <v>SNS</v>
      </c>
      <c r="O32" s="126" t="str">
        <f>OB_Act[[#This Row],[Day]]&amp;OB_Act[[#This Row],[Excavator]]&amp;OB_Act[[#This Row],[Contractor]]&amp;OB_Act[[#This Row],[Pit]]&amp;OB_Act[[#This Row],[Shift]]</f>
        <v>4SNS-EX520-240SNSPIT M4EW1</v>
      </c>
      <c r="P32" s="126">
        <f>1/COUNTIF(OB_Act[Dummy_Exc],OB_Act[[#This Row],[Dummy_Exc]])</f>
        <v>0.25</v>
      </c>
      <c r="Q32" s="105" t="str">
        <f>OB_Act[[#This Row],[Day]]&amp;OB_Act[[#This Row],[Dump Truck]]&amp;OB_Act[[#This Row],[Pit]]&amp;OB_Act[[#This Row],[Shift]]</f>
        <v>4SNS-SN604PIT M4EW1</v>
      </c>
      <c r="R32" s="126">
        <f>1/COUNTIF(OB_Act[Dummy_DT],OB_Act[[#This Row],[Dummy_DT]])</f>
        <v>1</v>
      </c>
      <c r="S32" s="126">
        <f>OB_Act[[#This Row],[Distance (Meter)]]*OB_Act[[#This Row],[Volume (BCM)]]</f>
        <v>205200</v>
      </c>
      <c r="T32" s="105" t="str">
        <f>OB_Act[[#This Row],[Day]]&amp;OB_Act[[#This Row],[Dump Truck]]&amp;OB_Act[[#This Row],[Contractor]]&amp;OB_Act[[#This Row],[Excavator]]&amp;OB_Act[[#This Row],[Shift]]</f>
        <v>4SNS-SN604SNSSNS-EX520-2401</v>
      </c>
      <c r="U32" s="126">
        <f>1/COUNTIF(OB_Act[Dummy_DT/Exc],OB_Act[[#This Row],[Dummy_DT/Exc]])</f>
        <v>1</v>
      </c>
      <c r="V32" s="126" t="str">
        <f>VLOOKUP(OB_Act[[#This Row],[Day]],$AO$2:$AR$32,4,0)</f>
        <v>Week I</v>
      </c>
      <c r="W32" s="126" t="str">
        <f>VLOOKUP(OB_Act[[#This Row],[Dump Area]],$AE$2:$AF$51,2,0)</f>
        <v>M4EW</v>
      </c>
      <c r="X32" s="126" t="str">
        <f>OB_Act[[#This Row],[Excavator]]&amp;OB_Act[[#This Row],[Contractor]]</f>
        <v>SNS-EX520-240SNS</v>
      </c>
      <c r="Y32" s="126" t="str">
        <f>IF(OB_Act[[#This Row],[Material]]="MUD",VLOOKUP(OB_Act[[#This Row],[Dump Truck]],Type_mud[[Nama DT]:[Type]],2,0),VLOOKUP(OB_Act[[#This Row],[Dump Truck]],Type_DT_OB[[Nama DT]:[Type]],4,0))</f>
        <v>SNS-VOLVO-35T</v>
      </c>
      <c r="Z32" s="126" t="str">
        <f>"JBG-OP1-CENTRAL-"&amp;VLOOKUP(OB_Act[[#This Row],[Pit]],$AK$2:$AL$9,2,0)&amp;"-WASTE-"&amp;OB_Act[[#This Row],[Material]]</f>
        <v>JBG-OP1-CENTRAL-M4EW-WASTE-OB-PAF</v>
      </c>
      <c r="AA32" s="126" t="str">
        <f>"JBG-DUMP1-"&amp;VLOOKUP(OB_Act[[#This Row],[Dump]],$AF$2:$AG$55,2,0)&amp;"-"&amp;OB_Act[[#This Row],[Material]]</f>
        <v>JBG-DUMP1-INPIT-M4EW-OB-PAF</v>
      </c>
      <c r="AB32" s="126" t="str">
        <f>"JBG-"&amp;OB_Act[[#This Row],[Material]]</f>
        <v>JBG-OB-PAF</v>
      </c>
      <c r="AE32" s="105" t="s">
        <v>584</v>
      </c>
      <c r="AF32" s="132" t="s">
        <v>593</v>
      </c>
      <c r="AG32" s="132" t="s">
        <v>593</v>
      </c>
      <c r="AO32" s="135">
        <f t="shared" si="0"/>
        <v>31</v>
      </c>
      <c r="AP32" s="138">
        <f t="shared" si="2"/>
        <v>46112</v>
      </c>
      <c r="AQ32" s="139" t="str">
        <f t="shared" si="1"/>
        <v>Tue</v>
      </c>
      <c r="AR32" s="135" t="s">
        <v>614</v>
      </c>
      <c r="AS32" s="134">
        <v>15</v>
      </c>
      <c r="AT32" s="134"/>
      <c r="AU32" s="134">
        <v>15</v>
      </c>
      <c r="AV32" s="130"/>
      <c r="BD32" s="105" t="str">
        <f>RIGHT(Type_DT_OB[[#This Row],[Nama DT]],3)</f>
        <v>568</v>
      </c>
      <c r="BE32" s="105" t="s">
        <v>415</v>
      </c>
      <c r="BF32" s="105">
        <v>14.5</v>
      </c>
      <c r="BG32" s="105">
        <v>9</v>
      </c>
      <c r="BH32" s="105" t="s">
        <v>384</v>
      </c>
      <c r="BI32" s="105" t="s">
        <v>385</v>
      </c>
      <c r="BK32" s="105" t="str">
        <f>RIGHT(Type_mud[[#This Row],[Nama DT]],3)</f>
        <v>568</v>
      </c>
      <c r="BL32" s="105" t="s">
        <v>415</v>
      </c>
      <c r="BM32" s="105" t="s">
        <v>580</v>
      </c>
    </row>
    <row r="33" spans="1:65" ht="14.4">
      <c r="A33" s="105">
        <v>4</v>
      </c>
      <c r="B33" s="125">
        <v>1</v>
      </c>
      <c r="C33" s="105" t="s">
        <v>429</v>
      </c>
      <c r="D33" s="105" t="s">
        <v>746</v>
      </c>
      <c r="E33" s="105" t="s">
        <v>729</v>
      </c>
      <c r="F33" s="105">
        <v>17</v>
      </c>
      <c r="G33" s="105">
        <v>13.5</v>
      </c>
      <c r="H33" s="105">
        <v>229.5</v>
      </c>
      <c r="I33" s="105" t="s">
        <v>106</v>
      </c>
      <c r="J33" s="105" t="s">
        <v>729</v>
      </c>
      <c r="K33" s="105">
        <v>800</v>
      </c>
      <c r="L33" s="105" t="s">
        <v>730</v>
      </c>
      <c r="M33" s="105">
        <f>OB_Act[[#This Row],[Volume (BCM)]]*OB_Act[[#This Row],[Distance (Meter)]]</f>
        <v>183600</v>
      </c>
      <c r="N33" s="105" t="str">
        <f>LEFT(OB_Act[[#This Row],[Dump Truck]],3)</f>
        <v>SNS</v>
      </c>
      <c r="O33" s="126" t="str">
        <f>OB_Act[[#This Row],[Day]]&amp;OB_Act[[#This Row],[Excavator]]&amp;OB_Act[[#This Row],[Contractor]]&amp;OB_Act[[#This Row],[Pit]]&amp;OB_Act[[#This Row],[Shift]]</f>
        <v>4SNS-EX520-240SNSPIT M4EW1</v>
      </c>
      <c r="P33" s="126">
        <f>1/COUNTIF(OB_Act[Dummy_Exc],OB_Act[[#This Row],[Dummy_Exc]])</f>
        <v>0.25</v>
      </c>
      <c r="Q33" s="105" t="str">
        <f>OB_Act[[#This Row],[Day]]&amp;OB_Act[[#This Row],[Dump Truck]]&amp;OB_Act[[#This Row],[Pit]]&amp;OB_Act[[#This Row],[Shift]]</f>
        <v>4SNS-SN582PIT M4EW1</v>
      </c>
      <c r="R33" s="126">
        <f>1/COUNTIF(OB_Act[Dummy_DT],OB_Act[[#This Row],[Dummy_DT]])</f>
        <v>1</v>
      </c>
      <c r="S33" s="126">
        <f>OB_Act[[#This Row],[Distance (Meter)]]*OB_Act[[#This Row],[Volume (BCM)]]</f>
        <v>183600</v>
      </c>
      <c r="T33" s="105" t="str">
        <f>OB_Act[[#This Row],[Day]]&amp;OB_Act[[#This Row],[Dump Truck]]&amp;OB_Act[[#This Row],[Contractor]]&amp;OB_Act[[#This Row],[Excavator]]&amp;OB_Act[[#This Row],[Shift]]</f>
        <v>4SNS-SN582SNSSNS-EX520-2401</v>
      </c>
      <c r="U33" s="126">
        <f>1/COUNTIF(OB_Act[Dummy_DT/Exc],OB_Act[[#This Row],[Dummy_DT/Exc]])</f>
        <v>1</v>
      </c>
      <c r="V33" s="126" t="str">
        <f>VLOOKUP(OB_Act[[#This Row],[Day]],$AO$2:$AR$32,4,0)</f>
        <v>Week I</v>
      </c>
      <c r="W33" s="126" t="str">
        <f>VLOOKUP(OB_Act[[#This Row],[Dump Area]],$AE$2:$AF$51,2,0)</f>
        <v>M4EW</v>
      </c>
      <c r="X33" s="126" t="str">
        <f>OB_Act[[#This Row],[Excavator]]&amp;OB_Act[[#This Row],[Contractor]]</f>
        <v>SNS-EX520-240SNS</v>
      </c>
      <c r="Y33" s="126" t="str">
        <f>IF(OB_Act[[#This Row],[Material]]="MUD",VLOOKUP(OB_Act[[#This Row],[Dump Truck]],Type_mud[[Nama DT]:[Type]],2,0),VLOOKUP(OB_Act[[#This Row],[Dump Truck]],Type_DT_OB[[Nama DT]:[Type]],4,0))</f>
        <v>SNS-HINO-30T</v>
      </c>
      <c r="Z33" s="126" t="str">
        <f>"JBG-OP1-CENTRAL-"&amp;VLOOKUP(OB_Act[[#This Row],[Pit]],$AK$2:$AL$9,2,0)&amp;"-WASTE-"&amp;OB_Act[[#This Row],[Material]]</f>
        <v>JBG-OP1-CENTRAL-M4EW-WASTE-OB-PAF</v>
      </c>
      <c r="AA33" s="126" t="str">
        <f>"JBG-DUMP1-"&amp;VLOOKUP(OB_Act[[#This Row],[Dump]],$AF$2:$AG$55,2,0)&amp;"-"&amp;OB_Act[[#This Row],[Material]]</f>
        <v>JBG-DUMP1-INPIT-M4EW-OB-PAF</v>
      </c>
      <c r="AB33" s="126" t="str">
        <f>"JBG-"&amp;OB_Act[[#This Row],[Material]]</f>
        <v>JBG-OB-PAF</v>
      </c>
      <c r="AE33" s="105" t="s">
        <v>624</v>
      </c>
      <c r="AF33" s="105" t="s">
        <v>602</v>
      </c>
      <c r="AG33" s="105" t="s">
        <v>603</v>
      </c>
      <c r="AR33" s="135" t="s">
        <v>620</v>
      </c>
      <c r="AT33" s="130"/>
      <c r="AU33" s="130"/>
      <c r="AV33" s="130"/>
      <c r="BD33" s="105" t="str">
        <f>RIGHT(Type_DT_OB[[#This Row],[Nama DT]],3)</f>
        <v>569</v>
      </c>
      <c r="BE33" s="105" t="s">
        <v>416</v>
      </c>
      <c r="BF33" s="105">
        <v>14.5</v>
      </c>
      <c r="BG33" s="105">
        <v>9</v>
      </c>
      <c r="BH33" s="105" t="s">
        <v>384</v>
      </c>
      <c r="BI33" s="105" t="s">
        <v>385</v>
      </c>
      <c r="BK33" s="105" t="str">
        <f>RIGHT(Type_mud[[#This Row],[Nama DT]],3)</f>
        <v>569</v>
      </c>
      <c r="BL33" s="105" t="s">
        <v>416</v>
      </c>
      <c r="BM33" s="105" t="s">
        <v>580</v>
      </c>
    </row>
    <row r="34" spans="1:65">
      <c r="A34" s="105">
        <v>4</v>
      </c>
      <c r="B34" s="125">
        <v>1</v>
      </c>
      <c r="C34" s="105" t="s">
        <v>395</v>
      </c>
      <c r="D34" s="105" t="s">
        <v>746</v>
      </c>
      <c r="E34" s="105" t="s">
        <v>729</v>
      </c>
      <c r="F34" s="105">
        <v>16</v>
      </c>
      <c r="G34" s="105">
        <v>13.5</v>
      </c>
      <c r="H34" s="105">
        <v>216</v>
      </c>
      <c r="I34" s="105" t="s">
        <v>106</v>
      </c>
      <c r="J34" s="105" t="s">
        <v>729</v>
      </c>
      <c r="K34" s="105">
        <v>800</v>
      </c>
      <c r="L34" s="105" t="s">
        <v>730</v>
      </c>
      <c r="M34" s="105">
        <f>OB_Act[[#This Row],[Volume (BCM)]]*OB_Act[[#This Row],[Distance (Meter)]]</f>
        <v>172800</v>
      </c>
      <c r="N34" s="105" t="str">
        <f>LEFT(OB_Act[[#This Row],[Dump Truck]],3)</f>
        <v>SNS</v>
      </c>
      <c r="O34" s="126" t="str">
        <f>OB_Act[[#This Row],[Day]]&amp;OB_Act[[#This Row],[Excavator]]&amp;OB_Act[[#This Row],[Contractor]]&amp;OB_Act[[#This Row],[Pit]]&amp;OB_Act[[#This Row],[Shift]]</f>
        <v>4SNS-EX520-240SNSPIT M4EW1</v>
      </c>
      <c r="P34" s="126">
        <f>1/COUNTIF(OB_Act[Dummy_Exc],OB_Act[[#This Row],[Dummy_Exc]])</f>
        <v>0.25</v>
      </c>
      <c r="Q34" s="105" t="str">
        <f>OB_Act[[#This Row],[Day]]&amp;OB_Act[[#This Row],[Dump Truck]]&amp;OB_Act[[#This Row],[Pit]]&amp;OB_Act[[#This Row],[Shift]]</f>
        <v>4SNS-SN524PIT M4EW1</v>
      </c>
      <c r="R34" s="126">
        <f>1/COUNTIF(OB_Act[Dummy_DT],OB_Act[[#This Row],[Dummy_DT]])</f>
        <v>1</v>
      </c>
      <c r="S34" s="126">
        <f>OB_Act[[#This Row],[Distance (Meter)]]*OB_Act[[#This Row],[Volume (BCM)]]</f>
        <v>172800</v>
      </c>
      <c r="T34" s="105" t="str">
        <f>OB_Act[[#This Row],[Day]]&amp;OB_Act[[#This Row],[Dump Truck]]&amp;OB_Act[[#This Row],[Contractor]]&amp;OB_Act[[#This Row],[Excavator]]&amp;OB_Act[[#This Row],[Shift]]</f>
        <v>4SNS-SN524SNSSNS-EX520-2401</v>
      </c>
      <c r="U34" s="126">
        <f>1/COUNTIF(OB_Act[Dummy_DT/Exc],OB_Act[[#This Row],[Dummy_DT/Exc]])</f>
        <v>1</v>
      </c>
      <c r="V34" s="126" t="str">
        <f>VLOOKUP(OB_Act[[#This Row],[Day]],$AO$2:$AR$32,4,0)</f>
        <v>Week I</v>
      </c>
      <c r="W34" s="126" t="str">
        <f>VLOOKUP(OB_Act[[#This Row],[Dump Area]],$AE$2:$AF$51,2,0)</f>
        <v>M4EW</v>
      </c>
      <c r="X34" s="126" t="str">
        <f>OB_Act[[#This Row],[Excavator]]&amp;OB_Act[[#This Row],[Contractor]]</f>
        <v>SNS-EX520-240SNS</v>
      </c>
      <c r="Y34" s="126" t="str">
        <f>IF(OB_Act[[#This Row],[Material]]="MUD",VLOOKUP(OB_Act[[#This Row],[Dump Truck]],Type_mud[[Nama DT]:[Type]],2,0),VLOOKUP(OB_Act[[#This Row],[Dump Truck]],Type_DT_OB[[Nama DT]:[Type]],4,0))</f>
        <v>SNS-HINO-30T</v>
      </c>
      <c r="Z34" s="126" t="str">
        <f>"JBG-OP1-CENTRAL-"&amp;VLOOKUP(OB_Act[[#This Row],[Pit]],$AK$2:$AL$9,2,0)&amp;"-WASTE-"&amp;OB_Act[[#This Row],[Material]]</f>
        <v>JBG-OP1-CENTRAL-M4EW-WASTE-OB-PAF</v>
      </c>
      <c r="AA34" s="126" t="str">
        <f>"JBG-DUMP1-"&amp;VLOOKUP(OB_Act[[#This Row],[Dump]],$AF$2:$AG$55,2,0)&amp;"-"&amp;OB_Act[[#This Row],[Material]]</f>
        <v>JBG-DUMP1-INPIT-M4EW-OB-PAF</v>
      </c>
      <c r="AB34" s="126" t="str">
        <f>"JBG-"&amp;OB_Act[[#This Row],[Material]]</f>
        <v>JBG-OB-PAF</v>
      </c>
      <c r="AE34" s="105" t="s">
        <v>625</v>
      </c>
      <c r="AF34" s="132" t="s">
        <v>591</v>
      </c>
      <c r="AG34" s="132" t="s">
        <v>592</v>
      </c>
      <c r="AT34" s="130"/>
      <c r="AU34" s="130"/>
      <c r="AV34" s="130"/>
      <c r="BD34" s="105" t="str">
        <f>RIGHT(Type_DT_OB[[#This Row],[Nama DT]],3)</f>
        <v>570</v>
      </c>
      <c r="BE34" s="105" t="s">
        <v>417</v>
      </c>
      <c r="BF34" s="105">
        <v>14.5</v>
      </c>
      <c r="BG34" s="105">
        <v>9</v>
      </c>
      <c r="BH34" s="105" t="s">
        <v>384</v>
      </c>
      <c r="BI34" s="105" t="s">
        <v>385</v>
      </c>
      <c r="BK34" s="105" t="str">
        <f>RIGHT(Type_mud[[#This Row],[Nama DT]],3)</f>
        <v>570</v>
      </c>
      <c r="BL34" s="105" t="s">
        <v>417</v>
      </c>
      <c r="BM34" s="105" t="s">
        <v>580</v>
      </c>
    </row>
    <row r="35" spans="1:65">
      <c r="A35" s="105">
        <v>4</v>
      </c>
      <c r="B35" s="125">
        <v>1</v>
      </c>
      <c r="C35" s="105" t="s">
        <v>448</v>
      </c>
      <c r="D35" s="105" t="s">
        <v>746</v>
      </c>
      <c r="E35" s="105" t="s">
        <v>729</v>
      </c>
      <c r="F35" s="105">
        <v>13</v>
      </c>
      <c r="G35" s="105">
        <v>13.5</v>
      </c>
      <c r="H35" s="105">
        <v>175.5</v>
      </c>
      <c r="I35" s="105" t="s">
        <v>106</v>
      </c>
      <c r="J35" s="105" t="s">
        <v>729</v>
      </c>
      <c r="K35" s="105">
        <v>800</v>
      </c>
      <c r="L35" s="105" t="s">
        <v>730</v>
      </c>
      <c r="M35" s="105">
        <f>OB_Act[[#This Row],[Volume (BCM)]]*OB_Act[[#This Row],[Distance (Meter)]]</f>
        <v>140400</v>
      </c>
      <c r="N35" s="105" t="str">
        <f>LEFT(OB_Act[[#This Row],[Dump Truck]],3)</f>
        <v>SNS</v>
      </c>
      <c r="O35" s="126" t="str">
        <f>OB_Act[[#This Row],[Day]]&amp;OB_Act[[#This Row],[Excavator]]&amp;OB_Act[[#This Row],[Contractor]]&amp;OB_Act[[#This Row],[Pit]]&amp;OB_Act[[#This Row],[Shift]]</f>
        <v>4SNS-EX520-240SNSPIT M4EW1</v>
      </c>
      <c r="P35" s="126">
        <f>1/COUNTIF(OB_Act[Dummy_Exc],OB_Act[[#This Row],[Dummy_Exc]])</f>
        <v>0.25</v>
      </c>
      <c r="Q35" s="105" t="str">
        <f>OB_Act[[#This Row],[Day]]&amp;OB_Act[[#This Row],[Dump Truck]]&amp;OB_Act[[#This Row],[Pit]]&amp;OB_Act[[#This Row],[Shift]]</f>
        <v>4SNS-SN603PIT M4EW1</v>
      </c>
      <c r="R35" s="126">
        <f>1/COUNTIF(OB_Act[Dummy_DT],OB_Act[[#This Row],[Dummy_DT]])</f>
        <v>1</v>
      </c>
      <c r="S35" s="126">
        <f>OB_Act[[#This Row],[Distance (Meter)]]*OB_Act[[#This Row],[Volume (BCM)]]</f>
        <v>140400</v>
      </c>
      <c r="T35" s="105" t="str">
        <f>OB_Act[[#This Row],[Day]]&amp;OB_Act[[#This Row],[Dump Truck]]&amp;OB_Act[[#This Row],[Contractor]]&amp;OB_Act[[#This Row],[Excavator]]&amp;OB_Act[[#This Row],[Shift]]</f>
        <v>4SNS-SN603SNSSNS-EX520-2401</v>
      </c>
      <c r="U35" s="126">
        <f>1/COUNTIF(OB_Act[Dummy_DT/Exc],OB_Act[[#This Row],[Dummy_DT/Exc]])</f>
        <v>1</v>
      </c>
      <c r="V35" s="126" t="str">
        <f>VLOOKUP(OB_Act[[#This Row],[Day]],$AO$2:$AR$32,4,0)</f>
        <v>Week I</v>
      </c>
      <c r="W35" s="126" t="str">
        <f>VLOOKUP(OB_Act[[#This Row],[Dump Area]],$AE$2:$AF$51,2,0)</f>
        <v>M4EW</v>
      </c>
      <c r="X35" s="126" t="str">
        <f>OB_Act[[#This Row],[Excavator]]&amp;OB_Act[[#This Row],[Contractor]]</f>
        <v>SNS-EX520-240SNS</v>
      </c>
      <c r="Y35" s="126" t="str">
        <f>IF(OB_Act[[#This Row],[Material]]="MUD",VLOOKUP(OB_Act[[#This Row],[Dump Truck]],Type_mud[[Nama DT]:[Type]],2,0),VLOOKUP(OB_Act[[#This Row],[Dump Truck]],Type_DT_OB[[Nama DT]:[Type]],4,0))</f>
        <v>SNS-VOLVO-35T</v>
      </c>
      <c r="Z35" s="126" t="str">
        <f>"JBG-OP1-CENTRAL-"&amp;VLOOKUP(OB_Act[[#This Row],[Pit]],$AK$2:$AL$9,2,0)&amp;"-WASTE-"&amp;OB_Act[[#This Row],[Material]]</f>
        <v>JBG-OP1-CENTRAL-M4EW-WASTE-OB-PAF</v>
      </c>
      <c r="AA35" s="126" t="str">
        <f>"JBG-DUMP1-"&amp;VLOOKUP(OB_Act[[#This Row],[Dump]],$AF$2:$AG$55,2,0)&amp;"-"&amp;OB_Act[[#This Row],[Material]]</f>
        <v>JBG-DUMP1-INPIT-M4EW-OB-PAF</v>
      </c>
      <c r="AB35" s="126" t="str">
        <f>"JBG-"&amp;OB_Act[[#This Row],[Material]]</f>
        <v>JBG-OB-PAF</v>
      </c>
      <c r="AE35" s="105" t="s">
        <v>576</v>
      </c>
      <c r="AF35" s="105" t="s">
        <v>576</v>
      </c>
      <c r="AG35" s="105" t="s">
        <v>609</v>
      </c>
      <c r="AT35" s="130"/>
      <c r="AU35" s="130"/>
      <c r="AV35" s="130"/>
      <c r="BD35" s="105" t="str">
        <f>RIGHT(Type_DT_OB[[#This Row],[Nama DT]],3)</f>
        <v>571</v>
      </c>
      <c r="BE35" s="105" t="s">
        <v>418</v>
      </c>
      <c r="BF35" s="105">
        <v>14.5</v>
      </c>
      <c r="BG35" s="105">
        <v>9</v>
      </c>
      <c r="BH35" s="105" t="s">
        <v>384</v>
      </c>
      <c r="BI35" s="105" t="s">
        <v>385</v>
      </c>
      <c r="BK35" s="105" t="str">
        <f>RIGHT(Type_mud[[#This Row],[Nama DT]],3)</f>
        <v>571</v>
      </c>
      <c r="BL35" s="105" t="s">
        <v>418</v>
      </c>
      <c r="BM35" s="105" t="s">
        <v>580</v>
      </c>
    </row>
    <row r="36" spans="1:65">
      <c r="A36" s="105">
        <v>5</v>
      </c>
      <c r="B36" s="125">
        <v>1</v>
      </c>
      <c r="C36" s="105" t="s">
        <v>425</v>
      </c>
      <c r="D36" s="105" t="s">
        <v>745</v>
      </c>
      <c r="E36" s="105" t="s">
        <v>729</v>
      </c>
      <c r="F36" s="105">
        <v>15</v>
      </c>
      <c r="G36" s="105">
        <v>13.5</v>
      </c>
      <c r="H36" s="105">
        <v>202.5</v>
      </c>
      <c r="I36" s="105" t="s">
        <v>109</v>
      </c>
      <c r="J36" s="105" t="s">
        <v>742</v>
      </c>
      <c r="K36" s="105">
        <v>3600</v>
      </c>
      <c r="L36" s="105" t="s">
        <v>730</v>
      </c>
      <c r="M36" s="105">
        <f>OB_Act[[#This Row],[Volume (BCM)]]*OB_Act[[#This Row],[Distance (Meter)]]</f>
        <v>729000</v>
      </c>
      <c r="N36" s="105" t="str">
        <f>LEFT(OB_Act[[#This Row],[Dump Truck]],3)</f>
        <v>SNS</v>
      </c>
      <c r="O36" s="126" t="str">
        <f>OB_Act[[#This Row],[Day]]&amp;OB_Act[[#This Row],[Excavator]]&amp;OB_Act[[#This Row],[Contractor]]&amp;OB_Act[[#This Row],[Pit]]&amp;OB_Act[[#This Row],[Shift]]</f>
        <v>5SNS-EX520-242SNSPIT M4EW1</v>
      </c>
      <c r="P36" s="126">
        <f>1/COUNTIF(OB_Act[Dummy_Exc],OB_Act[[#This Row],[Dummy_Exc]])</f>
        <v>0.14285714285714285</v>
      </c>
      <c r="Q36" s="105" t="str">
        <f>OB_Act[[#This Row],[Day]]&amp;OB_Act[[#This Row],[Dump Truck]]&amp;OB_Act[[#This Row],[Pit]]&amp;OB_Act[[#This Row],[Shift]]</f>
        <v>5SNS-SN578PIT M4EW1</v>
      </c>
      <c r="R36" s="126">
        <f>1/COUNTIF(OB_Act[Dummy_DT],OB_Act[[#This Row],[Dummy_DT]])</f>
        <v>1</v>
      </c>
      <c r="S36" s="126">
        <f>OB_Act[[#This Row],[Distance (Meter)]]*OB_Act[[#This Row],[Volume (BCM)]]</f>
        <v>729000</v>
      </c>
      <c r="T36" s="105" t="str">
        <f>OB_Act[[#This Row],[Day]]&amp;OB_Act[[#This Row],[Dump Truck]]&amp;OB_Act[[#This Row],[Contractor]]&amp;OB_Act[[#This Row],[Excavator]]&amp;OB_Act[[#This Row],[Shift]]</f>
        <v>5SNS-SN578SNSSNS-EX520-2421</v>
      </c>
      <c r="U36" s="126">
        <f>1/COUNTIF(OB_Act[Dummy_DT/Exc],OB_Act[[#This Row],[Dummy_DT/Exc]])</f>
        <v>1</v>
      </c>
      <c r="V36" s="126" t="str">
        <f>VLOOKUP(OB_Act[[#This Row],[Day]],$AO$2:$AR$32,4,0)</f>
        <v>Week I</v>
      </c>
      <c r="W36" s="126" t="e">
        <f>VLOOKUP(OB_Act[[#This Row],[Dump Area]],$AE$2:$AF$51,2,0)</f>
        <v>#N/A</v>
      </c>
      <c r="X36" s="126" t="str">
        <f>OB_Act[[#This Row],[Excavator]]&amp;OB_Act[[#This Row],[Contractor]]</f>
        <v>SNS-EX520-242SNS</v>
      </c>
      <c r="Y36" s="126" t="str">
        <f>IF(OB_Act[[#This Row],[Material]]="MUD",VLOOKUP(OB_Act[[#This Row],[Dump Truck]],Type_mud[[Nama DT]:[Type]],2,0),VLOOKUP(OB_Act[[#This Row],[Dump Truck]],Type_DT_OB[[Nama DT]:[Type]],4,0))</f>
        <v>SNS-HINO-30T</v>
      </c>
      <c r="Z36" s="126" t="str">
        <f>"JBG-OP1-CENTRAL-"&amp;VLOOKUP(OB_Act[[#This Row],[Pit]],$AK$2:$AL$9,2,0)&amp;"-WASTE-"&amp;OB_Act[[#This Row],[Material]]</f>
        <v>JBG-OP1-CENTRAL-M4EW-WASTE-TS</v>
      </c>
      <c r="AA36" s="126" t="e">
        <f>"JBG-DUMP1-"&amp;VLOOKUP(OB_Act[[#This Row],[Dump]],$AF$2:$AG$55,2,0)&amp;"-"&amp;OB_Act[[#This Row],[Material]]</f>
        <v>#N/A</v>
      </c>
      <c r="AB36" s="126" t="str">
        <f>"JBG-"&amp;OB_Act[[#This Row],[Material]]</f>
        <v>JBG-TS</v>
      </c>
      <c r="AE36" s="133" t="s">
        <v>626</v>
      </c>
      <c r="AF36" s="105" t="s">
        <v>602</v>
      </c>
      <c r="AG36" s="105" t="s">
        <v>603</v>
      </c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BD36" s="105" t="str">
        <f>RIGHT(Type_DT_OB[[#This Row],[Nama DT]],3)</f>
        <v>572</v>
      </c>
      <c r="BE36" s="105" t="s">
        <v>419</v>
      </c>
      <c r="BF36" s="105">
        <v>14.5</v>
      </c>
      <c r="BG36" s="105">
        <v>9</v>
      </c>
      <c r="BH36" s="105" t="s">
        <v>384</v>
      </c>
      <c r="BI36" s="105" t="s">
        <v>385</v>
      </c>
      <c r="BK36" s="105" t="str">
        <f>RIGHT(Type_mud[[#This Row],[Nama DT]],3)</f>
        <v>572</v>
      </c>
      <c r="BL36" s="105" t="s">
        <v>419</v>
      </c>
      <c r="BM36" s="105" t="s">
        <v>580</v>
      </c>
    </row>
    <row r="37" spans="1:65">
      <c r="A37" s="105">
        <v>5</v>
      </c>
      <c r="B37" s="125">
        <v>1</v>
      </c>
      <c r="C37" s="105" t="s">
        <v>451</v>
      </c>
      <c r="D37" s="105" t="s">
        <v>745</v>
      </c>
      <c r="E37" s="105" t="s">
        <v>729</v>
      </c>
      <c r="F37" s="105">
        <v>15</v>
      </c>
      <c r="G37" s="105">
        <v>13.5</v>
      </c>
      <c r="H37" s="105">
        <v>202.5</v>
      </c>
      <c r="I37" s="105" t="s">
        <v>109</v>
      </c>
      <c r="J37" s="105" t="s">
        <v>742</v>
      </c>
      <c r="K37" s="105">
        <v>3600</v>
      </c>
      <c r="L37" s="105" t="s">
        <v>730</v>
      </c>
      <c r="M37" s="105">
        <f>OB_Act[[#This Row],[Volume (BCM)]]*OB_Act[[#This Row],[Distance (Meter)]]</f>
        <v>729000</v>
      </c>
      <c r="N37" s="105" t="str">
        <f>LEFT(OB_Act[[#This Row],[Dump Truck]],3)</f>
        <v>SNS</v>
      </c>
      <c r="O37" s="126" t="str">
        <f>OB_Act[[#This Row],[Day]]&amp;OB_Act[[#This Row],[Excavator]]&amp;OB_Act[[#This Row],[Contractor]]&amp;OB_Act[[#This Row],[Pit]]&amp;OB_Act[[#This Row],[Shift]]</f>
        <v>5SNS-EX520-242SNSPIT M4EW1</v>
      </c>
      <c r="P37" s="126">
        <f>1/COUNTIF(OB_Act[Dummy_Exc],OB_Act[[#This Row],[Dummy_Exc]])</f>
        <v>0.14285714285714285</v>
      </c>
      <c r="Q37" s="105" t="str">
        <f>OB_Act[[#This Row],[Day]]&amp;OB_Act[[#This Row],[Dump Truck]]&amp;OB_Act[[#This Row],[Pit]]&amp;OB_Act[[#This Row],[Shift]]</f>
        <v>5SNS-SN606PIT M4EW1</v>
      </c>
      <c r="R37" s="126">
        <f>1/COUNTIF(OB_Act[Dummy_DT],OB_Act[[#This Row],[Dummy_DT]])</f>
        <v>1</v>
      </c>
      <c r="S37" s="126">
        <f>OB_Act[[#This Row],[Distance (Meter)]]*OB_Act[[#This Row],[Volume (BCM)]]</f>
        <v>729000</v>
      </c>
      <c r="T37" s="105" t="str">
        <f>OB_Act[[#This Row],[Day]]&amp;OB_Act[[#This Row],[Dump Truck]]&amp;OB_Act[[#This Row],[Contractor]]&amp;OB_Act[[#This Row],[Excavator]]&amp;OB_Act[[#This Row],[Shift]]</f>
        <v>5SNS-SN606SNSSNS-EX520-2421</v>
      </c>
      <c r="U37" s="126">
        <f>1/COUNTIF(OB_Act[Dummy_DT/Exc],OB_Act[[#This Row],[Dummy_DT/Exc]])</f>
        <v>1</v>
      </c>
      <c r="V37" s="126" t="str">
        <f>VLOOKUP(OB_Act[[#This Row],[Day]],$AO$2:$AR$32,4,0)</f>
        <v>Week I</v>
      </c>
      <c r="W37" s="126" t="e">
        <f>VLOOKUP(OB_Act[[#This Row],[Dump Area]],$AE$2:$AF$51,2,0)</f>
        <v>#N/A</v>
      </c>
      <c r="X37" s="126" t="str">
        <f>OB_Act[[#This Row],[Excavator]]&amp;OB_Act[[#This Row],[Contractor]]</f>
        <v>SNS-EX520-242SNS</v>
      </c>
      <c r="Y37" s="126" t="str">
        <f>IF(OB_Act[[#This Row],[Material]]="MUD",VLOOKUP(OB_Act[[#This Row],[Dump Truck]],Type_mud[[Nama DT]:[Type]],2,0),VLOOKUP(OB_Act[[#This Row],[Dump Truck]],Type_DT_OB[[Nama DT]:[Type]],4,0))</f>
        <v>SNS-VOLVO-35T</v>
      </c>
      <c r="Z37" s="126" t="str">
        <f>"JBG-OP1-CENTRAL-"&amp;VLOOKUP(OB_Act[[#This Row],[Pit]],$AK$2:$AL$9,2,0)&amp;"-WASTE-"&amp;OB_Act[[#This Row],[Material]]</f>
        <v>JBG-OP1-CENTRAL-M4EW-WASTE-TS</v>
      </c>
      <c r="AA37" s="126" t="e">
        <f>"JBG-DUMP1-"&amp;VLOOKUP(OB_Act[[#This Row],[Dump]],$AF$2:$AG$55,2,0)&amp;"-"&amp;OB_Act[[#This Row],[Material]]</f>
        <v>#N/A</v>
      </c>
      <c r="AB37" s="126" t="str">
        <f>"JBG-"&amp;OB_Act[[#This Row],[Material]]</f>
        <v>JBG-TS</v>
      </c>
      <c r="AE37" s="105" t="s">
        <v>587</v>
      </c>
      <c r="AF37" s="105" t="s">
        <v>587</v>
      </c>
      <c r="AG37" s="105" t="s">
        <v>627</v>
      </c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BD37" s="105" t="str">
        <f>RIGHT(Type_DT_OB[[#This Row],[Nama DT]],3)</f>
        <v>573</v>
      </c>
      <c r="BE37" s="105" t="s">
        <v>420</v>
      </c>
      <c r="BF37" s="105">
        <v>14.5</v>
      </c>
      <c r="BG37" s="105">
        <v>9</v>
      </c>
      <c r="BH37" s="105" t="s">
        <v>384</v>
      </c>
      <c r="BI37" s="105" t="s">
        <v>385</v>
      </c>
      <c r="BK37" s="105" t="str">
        <f>RIGHT(Type_mud[[#This Row],[Nama DT]],3)</f>
        <v>573</v>
      </c>
      <c r="BL37" s="105" t="s">
        <v>420</v>
      </c>
      <c r="BM37" s="105" t="s">
        <v>580</v>
      </c>
    </row>
    <row r="38" spans="1:65">
      <c r="A38" s="105">
        <v>5</v>
      </c>
      <c r="B38" s="125">
        <v>1</v>
      </c>
      <c r="C38" s="105" t="s">
        <v>416</v>
      </c>
      <c r="D38" s="105" t="s">
        <v>745</v>
      </c>
      <c r="E38" s="105" t="s">
        <v>729</v>
      </c>
      <c r="F38" s="105">
        <v>13</v>
      </c>
      <c r="G38" s="105">
        <v>13.5</v>
      </c>
      <c r="H38" s="105">
        <v>175.5</v>
      </c>
      <c r="I38" s="105" t="s">
        <v>109</v>
      </c>
      <c r="J38" s="105" t="s">
        <v>742</v>
      </c>
      <c r="K38" s="105">
        <v>3600</v>
      </c>
      <c r="L38" s="105" t="s">
        <v>730</v>
      </c>
      <c r="M38" s="105">
        <f>OB_Act[[#This Row],[Volume (BCM)]]*OB_Act[[#This Row],[Distance (Meter)]]</f>
        <v>631800</v>
      </c>
      <c r="N38" s="105" t="str">
        <f>LEFT(OB_Act[[#This Row],[Dump Truck]],3)</f>
        <v>SNS</v>
      </c>
      <c r="O38" s="126" t="str">
        <f>OB_Act[[#This Row],[Day]]&amp;OB_Act[[#This Row],[Excavator]]&amp;OB_Act[[#This Row],[Contractor]]&amp;OB_Act[[#This Row],[Pit]]&amp;OB_Act[[#This Row],[Shift]]</f>
        <v>5SNS-EX520-242SNSPIT M4EW1</v>
      </c>
      <c r="P38" s="126">
        <f>1/COUNTIF(OB_Act[Dummy_Exc],OB_Act[[#This Row],[Dummy_Exc]])</f>
        <v>0.14285714285714285</v>
      </c>
      <c r="Q38" s="105" t="str">
        <f>OB_Act[[#This Row],[Day]]&amp;OB_Act[[#This Row],[Dump Truck]]&amp;OB_Act[[#This Row],[Pit]]&amp;OB_Act[[#This Row],[Shift]]</f>
        <v>5SNS-SN569PIT M4EW1</v>
      </c>
      <c r="R38" s="126">
        <f>1/COUNTIF(OB_Act[Dummy_DT],OB_Act[[#This Row],[Dummy_DT]])</f>
        <v>1</v>
      </c>
      <c r="S38" s="126">
        <f>OB_Act[[#This Row],[Distance (Meter)]]*OB_Act[[#This Row],[Volume (BCM)]]</f>
        <v>631800</v>
      </c>
      <c r="T38" s="105" t="str">
        <f>OB_Act[[#This Row],[Day]]&amp;OB_Act[[#This Row],[Dump Truck]]&amp;OB_Act[[#This Row],[Contractor]]&amp;OB_Act[[#This Row],[Excavator]]&amp;OB_Act[[#This Row],[Shift]]</f>
        <v>5SNS-SN569SNSSNS-EX520-2421</v>
      </c>
      <c r="U38" s="126">
        <f>1/COUNTIF(OB_Act[Dummy_DT/Exc],OB_Act[[#This Row],[Dummy_DT/Exc]])</f>
        <v>1</v>
      </c>
      <c r="V38" s="126" t="str">
        <f>VLOOKUP(OB_Act[[#This Row],[Day]],$AO$2:$AR$32,4,0)</f>
        <v>Week I</v>
      </c>
      <c r="W38" s="126" t="e">
        <f>VLOOKUP(OB_Act[[#This Row],[Dump Area]],$AE$2:$AF$51,2,0)</f>
        <v>#N/A</v>
      </c>
      <c r="X38" s="126" t="str">
        <f>OB_Act[[#This Row],[Excavator]]&amp;OB_Act[[#This Row],[Contractor]]</f>
        <v>SNS-EX520-242SNS</v>
      </c>
      <c r="Y38" s="126" t="str">
        <f>IF(OB_Act[[#This Row],[Material]]="MUD",VLOOKUP(OB_Act[[#This Row],[Dump Truck]],Type_mud[[Nama DT]:[Type]],2,0),VLOOKUP(OB_Act[[#This Row],[Dump Truck]],Type_DT_OB[[Nama DT]:[Type]],4,0))</f>
        <v>SNS-HINO-30T</v>
      </c>
      <c r="Z38" s="126" t="str">
        <f>"JBG-OP1-CENTRAL-"&amp;VLOOKUP(OB_Act[[#This Row],[Pit]],$AK$2:$AL$9,2,0)&amp;"-WASTE-"&amp;OB_Act[[#This Row],[Material]]</f>
        <v>JBG-OP1-CENTRAL-M4EW-WASTE-TS</v>
      </c>
      <c r="AA38" s="126" t="e">
        <f>"JBG-DUMP1-"&amp;VLOOKUP(OB_Act[[#This Row],[Dump]],$AF$2:$AG$55,2,0)&amp;"-"&amp;OB_Act[[#This Row],[Material]]</f>
        <v>#N/A</v>
      </c>
      <c r="AB38" s="126" t="str">
        <f>"JBG-"&amp;OB_Act[[#This Row],[Material]]</f>
        <v>JBG-TS</v>
      </c>
      <c r="AE38" s="105" t="s">
        <v>715</v>
      </c>
      <c r="AF38" s="105" t="s">
        <v>716</v>
      </c>
      <c r="AG38" s="105" t="s">
        <v>717</v>
      </c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BD38" s="105" t="str">
        <f>RIGHT(Type_DT_OB[[#This Row],[Nama DT]],3)</f>
        <v>574</v>
      </c>
      <c r="BE38" s="105" t="s">
        <v>421</v>
      </c>
      <c r="BF38" s="105">
        <v>14.5</v>
      </c>
      <c r="BG38" s="105">
        <v>9</v>
      </c>
      <c r="BH38" s="105" t="s">
        <v>384</v>
      </c>
      <c r="BI38" s="105" t="s">
        <v>385</v>
      </c>
      <c r="BK38" s="105" t="str">
        <f>RIGHT(Type_mud[[#This Row],[Nama DT]],3)</f>
        <v>574</v>
      </c>
      <c r="BL38" s="105" t="s">
        <v>421</v>
      </c>
      <c r="BM38" s="105" t="s">
        <v>580</v>
      </c>
    </row>
    <row r="39" spans="1:65">
      <c r="A39" s="105">
        <v>5</v>
      </c>
      <c r="B39" s="125">
        <v>1</v>
      </c>
      <c r="C39" s="105" t="s">
        <v>453</v>
      </c>
      <c r="D39" s="105" t="s">
        <v>745</v>
      </c>
      <c r="E39" s="105" t="s">
        <v>729</v>
      </c>
      <c r="F39" s="105">
        <v>14</v>
      </c>
      <c r="G39" s="105">
        <v>13.5</v>
      </c>
      <c r="H39" s="105">
        <v>189</v>
      </c>
      <c r="I39" s="105" t="s">
        <v>109</v>
      </c>
      <c r="J39" s="105" t="s">
        <v>742</v>
      </c>
      <c r="K39" s="105">
        <v>3600</v>
      </c>
      <c r="L39" s="105" t="s">
        <v>730</v>
      </c>
      <c r="M39" s="105">
        <f>OB_Act[[#This Row],[Volume (BCM)]]*OB_Act[[#This Row],[Distance (Meter)]]</f>
        <v>680400</v>
      </c>
      <c r="N39" s="105" t="str">
        <f>LEFT(OB_Act[[#This Row],[Dump Truck]],3)</f>
        <v>SNS</v>
      </c>
      <c r="O39" s="126" t="str">
        <f>OB_Act[[#This Row],[Day]]&amp;OB_Act[[#This Row],[Excavator]]&amp;OB_Act[[#This Row],[Contractor]]&amp;OB_Act[[#This Row],[Pit]]&amp;OB_Act[[#This Row],[Shift]]</f>
        <v>5SNS-EX520-242SNSPIT M4EW1</v>
      </c>
      <c r="P39" s="126">
        <f>1/COUNTIF(OB_Act[Dummy_Exc],OB_Act[[#This Row],[Dummy_Exc]])</f>
        <v>0.14285714285714285</v>
      </c>
      <c r="Q39" s="105" t="str">
        <f>OB_Act[[#This Row],[Day]]&amp;OB_Act[[#This Row],[Dump Truck]]&amp;OB_Act[[#This Row],[Pit]]&amp;OB_Act[[#This Row],[Shift]]</f>
        <v>5SNS-SN608PIT M4EW1</v>
      </c>
      <c r="R39" s="126">
        <f>1/COUNTIF(OB_Act[Dummy_DT],OB_Act[[#This Row],[Dummy_DT]])</f>
        <v>1</v>
      </c>
      <c r="S39" s="126">
        <f>OB_Act[[#This Row],[Distance (Meter)]]*OB_Act[[#This Row],[Volume (BCM)]]</f>
        <v>680400</v>
      </c>
      <c r="T39" s="105" t="str">
        <f>OB_Act[[#This Row],[Day]]&amp;OB_Act[[#This Row],[Dump Truck]]&amp;OB_Act[[#This Row],[Contractor]]&amp;OB_Act[[#This Row],[Excavator]]&amp;OB_Act[[#This Row],[Shift]]</f>
        <v>5SNS-SN608SNSSNS-EX520-2421</v>
      </c>
      <c r="U39" s="126">
        <f>1/COUNTIF(OB_Act[Dummy_DT/Exc],OB_Act[[#This Row],[Dummy_DT/Exc]])</f>
        <v>1</v>
      </c>
      <c r="V39" s="126" t="str">
        <f>VLOOKUP(OB_Act[[#This Row],[Day]],$AO$2:$AR$32,4,0)</f>
        <v>Week I</v>
      </c>
      <c r="W39" s="126" t="e">
        <f>VLOOKUP(OB_Act[[#This Row],[Dump Area]],$AE$2:$AF$51,2,0)</f>
        <v>#N/A</v>
      </c>
      <c r="X39" s="126" t="str">
        <f>OB_Act[[#This Row],[Excavator]]&amp;OB_Act[[#This Row],[Contractor]]</f>
        <v>SNS-EX520-242SNS</v>
      </c>
      <c r="Y39" s="126" t="str">
        <f>IF(OB_Act[[#This Row],[Material]]="MUD",VLOOKUP(OB_Act[[#This Row],[Dump Truck]],Type_mud[[Nama DT]:[Type]],2,0),VLOOKUP(OB_Act[[#This Row],[Dump Truck]],Type_DT_OB[[Nama DT]:[Type]],4,0))</f>
        <v>SNS-HINO-30T</v>
      </c>
      <c r="Z39" s="126" t="str">
        <f>"JBG-OP1-CENTRAL-"&amp;VLOOKUP(OB_Act[[#This Row],[Pit]],$AK$2:$AL$9,2,0)&amp;"-WASTE-"&amp;OB_Act[[#This Row],[Material]]</f>
        <v>JBG-OP1-CENTRAL-M4EW-WASTE-TS</v>
      </c>
      <c r="AA39" s="126" t="e">
        <f>"JBG-DUMP1-"&amp;VLOOKUP(OB_Act[[#This Row],[Dump]],$AF$2:$AG$55,2,0)&amp;"-"&amp;OB_Act[[#This Row],[Material]]</f>
        <v>#N/A</v>
      </c>
      <c r="AB39" s="126" t="str">
        <f>"JBG-"&amp;OB_Act[[#This Row],[Material]]</f>
        <v>JBG-TS</v>
      </c>
      <c r="AE39" s="105" t="s">
        <v>628</v>
      </c>
      <c r="AF39" s="105" t="s">
        <v>160</v>
      </c>
      <c r="AG39" s="105" t="s">
        <v>598</v>
      </c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BD39" s="105" t="str">
        <f>RIGHT(Type_DT_OB[[#This Row],[Nama DT]],3)</f>
        <v>575</v>
      </c>
      <c r="BE39" s="105" t="s">
        <v>422</v>
      </c>
      <c r="BF39" s="105">
        <v>14.5</v>
      </c>
      <c r="BG39" s="105">
        <v>9</v>
      </c>
      <c r="BH39" s="105" t="s">
        <v>384</v>
      </c>
      <c r="BI39" s="105" t="s">
        <v>385</v>
      </c>
      <c r="BK39" s="105" t="str">
        <f>RIGHT(Type_mud[[#This Row],[Nama DT]],3)</f>
        <v>575</v>
      </c>
      <c r="BL39" s="105" t="s">
        <v>422</v>
      </c>
      <c r="BM39" s="105" t="s">
        <v>580</v>
      </c>
    </row>
    <row r="40" spans="1:65">
      <c r="A40" s="105">
        <v>5</v>
      </c>
      <c r="B40" s="125">
        <v>1</v>
      </c>
      <c r="C40" s="105" t="s">
        <v>448</v>
      </c>
      <c r="D40" s="105" t="s">
        <v>746</v>
      </c>
      <c r="E40" s="105" t="s">
        <v>729</v>
      </c>
      <c r="F40" s="105">
        <v>18</v>
      </c>
      <c r="G40" s="105">
        <v>13.5</v>
      </c>
      <c r="H40" s="105">
        <v>243</v>
      </c>
      <c r="I40" s="105" t="s">
        <v>106</v>
      </c>
      <c r="J40" s="105" t="s">
        <v>729</v>
      </c>
      <c r="K40" s="105">
        <v>800</v>
      </c>
      <c r="L40" s="105" t="s">
        <v>730</v>
      </c>
      <c r="M40" s="105">
        <f>OB_Act[[#This Row],[Volume (BCM)]]*OB_Act[[#This Row],[Distance (Meter)]]</f>
        <v>194400</v>
      </c>
      <c r="N40" s="105" t="str">
        <f>LEFT(OB_Act[[#This Row],[Dump Truck]],3)</f>
        <v>SNS</v>
      </c>
      <c r="O40" s="126" t="str">
        <f>OB_Act[[#This Row],[Day]]&amp;OB_Act[[#This Row],[Excavator]]&amp;OB_Act[[#This Row],[Contractor]]&amp;OB_Act[[#This Row],[Pit]]&amp;OB_Act[[#This Row],[Shift]]</f>
        <v>5SNS-EX520-240SNSPIT M4EW1</v>
      </c>
      <c r="P40" s="126">
        <f>1/COUNTIF(OB_Act[Dummy_Exc],OB_Act[[#This Row],[Dummy_Exc]])</f>
        <v>0.25</v>
      </c>
      <c r="Q40" s="105" t="str">
        <f>OB_Act[[#This Row],[Day]]&amp;OB_Act[[#This Row],[Dump Truck]]&amp;OB_Act[[#This Row],[Pit]]&amp;OB_Act[[#This Row],[Shift]]</f>
        <v>5SNS-SN603PIT M4EW1</v>
      </c>
      <c r="R40" s="126">
        <f>1/COUNTIF(OB_Act[Dummy_DT],OB_Act[[#This Row],[Dummy_DT]])</f>
        <v>1</v>
      </c>
      <c r="S40" s="126">
        <f>OB_Act[[#This Row],[Distance (Meter)]]*OB_Act[[#This Row],[Volume (BCM)]]</f>
        <v>194400</v>
      </c>
      <c r="T40" s="105" t="str">
        <f>OB_Act[[#This Row],[Day]]&amp;OB_Act[[#This Row],[Dump Truck]]&amp;OB_Act[[#This Row],[Contractor]]&amp;OB_Act[[#This Row],[Excavator]]&amp;OB_Act[[#This Row],[Shift]]</f>
        <v>5SNS-SN603SNSSNS-EX520-2401</v>
      </c>
      <c r="U40" s="126">
        <f>1/COUNTIF(OB_Act[Dummy_DT/Exc],OB_Act[[#This Row],[Dummy_DT/Exc]])</f>
        <v>1</v>
      </c>
      <c r="V40" s="126" t="str">
        <f>VLOOKUP(OB_Act[[#This Row],[Day]],$AO$2:$AR$32,4,0)</f>
        <v>Week I</v>
      </c>
      <c r="W40" s="126" t="str">
        <f>VLOOKUP(OB_Act[[#This Row],[Dump Area]],$AE$2:$AF$51,2,0)</f>
        <v>M4EW</v>
      </c>
      <c r="X40" s="126" t="str">
        <f>OB_Act[[#This Row],[Excavator]]&amp;OB_Act[[#This Row],[Contractor]]</f>
        <v>SNS-EX520-240SNS</v>
      </c>
      <c r="Y40" s="126" t="str">
        <f>IF(OB_Act[[#This Row],[Material]]="MUD",VLOOKUP(OB_Act[[#This Row],[Dump Truck]],Type_mud[[Nama DT]:[Type]],2,0),VLOOKUP(OB_Act[[#This Row],[Dump Truck]],Type_DT_OB[[Nama DT]:[Type]],4,0))</f>
        <v>SNS-VOLVO-35T</v>
      </c>
      <c r="Z40" s="126" t="str">
        <f>"JBG-OP1-CENTRAL-"&amp;VLOOKUP(OB_Act[[#This Row],[Pit]],$AK$2:$AL$9,2,0)&amp;"-WASTE-"&amp;OB_Act[[#This Row],[Material]]</f>
        <v>JBG-OP1-CENTRAL-M4EW-WASTE-OB-PAF</v>
      </c>
      <c r="AA40" s="126" t="str">
        <f>"JBG-DUMP1-"&amp;VLOOKUP(OB_Act[[#This Row],[Dump]],$AF$2:$AG$55,2,0)&amp;"-"&amp;OB_Act[[#This Row],[Material]]</f>
        <v>JBG-DUMP1-INPIT-M4EW-OB-PAF</v>
      </c>
      <c r="AB40" s="126" t="str">
        <f>"JBG-"&amp;OB_Act[[#This Row],[Material]]</f>
        <v>JBG-OB-PAF</v>
      </c>
      <c r="AE40" s="105" t="s">
        <v>629</v>
      </c>
      <c r="AF40" s="105" t="s">
        <v>602</v>
      </c>
      <c r="AG40" s="105" t="s">
        <v>603</v>
      </c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BD40" s="105" t="str">
        <f>RIGHT(Type_DT_OB[[#This Row],[Nama DT]],3)</f>
        <v>576</v>
      </c>
      <c r="BE40" s="105" t="s">
        <v>423</v>
      </c>
      <c r="BF40" s="105">
        <v>14.5</v>
      </c>
      <c r="BG40" s="105">
        <v>9</v>
      </c>
      <c r="BH40" s="105" t="s">
        <v>384</v>
      </c>
      <c r="BI40" s="105" t="s">
        <v>385</v>
      </c>
      <c r="BK40" s="105" t="str">
        <f>RIGHT(Type_mud[[#This Row],[Nama DT]],3)</f>
        <v>576</v>
      </c>
      <c r="BL40" s="105" t="s">
        <v>423</v>
      </c>
      <c r="BM40" s="105" t="s">
        <v>580</v>
      </c>
    </row>
    <row r="41" spans="1:65">
      <c r="A41" s="105">
        <v>5</v>
      </c>
      <c r="B41" s="125">
        <v>1</v>
      </c>
      <c r="C41" s="105" t="s">
        <v>395</v>
      </c>
      <c r="D41" s="105" t="s">
        <v>746</v>
      </c>
      <c r="E41" s="105" t="s">
        <v>729</v>
      </c>
      <c r="F41" s="105">
        <v>23</v>
      </c>
      <c r="G41" s="105">
        <v>13.5</v>
      </c>
      <c r="H41" s="105">
        <v>310.5</v>
      </c>
      <c r="I41" s="105" t="s">
        <v>106</v>
      </c>
      <c r="J41" s="105" t="s">
        <v>729</v>
      </c>
      <c r="K41" s="105">
        <v>800</v>
      </c>
      <c r="L41" s="105" t="s">
        <v>730</v>
      </c>
      <c r="M41" s="105">
        <f>OB_Act[[#This Row],[Volume (BCM)]]*OB_Act[[#This Row],[Distance (Meter)]]</f>
        <v>248400</v>
      </c>
      <c r="N41" s="105" t="str">
        <f>LEFT(OB_Act[[#This Row],[Dump Truck]],3)</f>
        <v>SNS</v>
      </c>
      <c r="O41" s="126" t="str">
        <f>OB_Act[[#This Row],[Day]]&amp;OB_Act[[#This Row],[Excavator]]&amp;OB_Act[[#This Row],[Contractor]]&amp;OB_Act[[#This Row],[Pit]]&amp;OB_Act[[#This Row],[Shift]]</f>
        <v>5SNS-EX520-240SNSPIT M4EW1</v>
      </c>
      <c r="P41" s="126">
        <f>1/COUNTIF(OB_Act[Dummy_Exc],OB_Act[[#This Row],[Dummy_Exc]])</f>
        <v>0.25</v>
      </c>
      <c r="Q41" s="105" t="str">
        <f>OB_Act[[#This Row],[Day]]&amp;OB_Act[[#This Row],[Dump Truck]]&amp;OB_Act[[#This Row],[Pit]]&amp;OB_Act[[#This Row],[Shift]]</f>
        <v>5SNS-SN524PIT M4EW1</v>
      </c>
      <c r="R41" s="126">
        <f>1/COUNTIF(OB_Act[Dummy_DT],OB_Act[[#This Row],[Dummy_DT]])</f>
        <v>1</v>
      </c>
      <c r="S41" s="126">
        <f>OB_Act[[#This Row],[Distance (Meter)]]*OB_Act[[#This Row],[Volume (BCM)]]</f>
        <v>248400</v>
      </c>
      <c r="T41" s="105" t="str">
        <f>OB_Act[[#This Row],[Day]]&amp;OB_Act[[#This Row],[Dump Truck]]&amp;OB_Act[[#This Row],[Contractor]]&amp;OB_Act[[#This Row],[Excavator]]&amp;OB_Act[[#This Row],[Shift]]</f>
        <v>5SNS-SN524SNSSNS-EX520-2401</v>
      </c>
      <c r="U41" s="126">
        <f>1/COUNTIF(OB_Act[Dummy_DT/Exc],OB_Act[[#This Row],[Dummy_DT/Exc]])</f>
        <v>1</v>
      </c>
      <c r="V41" s="126" t="str">
        <f>VLOOKUP(OB_Act[[#This Row],[Day]],$AO$2:$AR$32,4,0)</f>
        <v>Week I</v>
      </c>
      <c r="W41" s="126" t="str">
        <f>VLOOKUP(OB_Act[[#This Row],[Dump Area]],$AE$2:$AF$51,2,0)</f>
        <v>M4EW</v>
      </c>
      <c r="X41" s="126" t="str">
        <f>OB_Act[[#This Row],[Excavator]]&amp;OB_Act[[#This Row],[Contractor]]</f>
        <v>SNS-EX520-240SNS</v>
      </c>
      <c r="Y41" s="126" t="str">
        <f>IF(OB_Act[[#This Row],[Material]]="MUD",VLOOKUP(OB_Act[[#This Row],[Dump Truck]],Type_mud[[Nama DT]:[Type]],2,0),VLOOKUP(OB_Act[[#This Row],[Dump Truck]],Type_DT_OB[[Nama DT]:[Type]],4,0))</f>
        <v>SNS-HINO-30T</v>
      </c>
      <c r="Z41" s="126" t="str">
        <f>"JBG-OP1-CENTRAL-"&amp;VLOOKUP(OB_Act[[#This Row],[Pit]],$AK$2:$AL$9,2,0)&amp;"-WASTE-"&amp;OB_Act[[#This Row],[Material]]</f>
        <v>JBG-OP1-CENTRAL-M4EW-WASTE-OB-PAF</v>
      </c>
      <c r="AA41" s="126" t="str">
        <f>"JBG-DUMP1-"&amp;VLOOKUP(OB_Act[[#This Row],[Dump]],$AF$2:$AG$55,2,0)&amp;"-"&amp;OB_Act[[#This Row],[Material]]</f>
        <v>JBG-DUMP1-INPIT-M4EW-OB-PAF</v>
      </c>
      <c r="AB41" s="126" t="str">
        <f>"JBG-"&amp;OB_Act[[#This Row],[Material]]</f>
        <v>JBG-OB-PAF</v>
      </c>
      <c r="AE41" s="105" t="s">
        <v>728</v>
      </c>
      <c r="AF41" s="105" t="s">
        <v>728</v>
      </c>
      <c r="AG41" s="105" t="s">
        <v>728</v>
      </c>
      <c r="BD41" s="105" t="str">
        <f>RIGHT(Type_DT_OB[[#This Row],[Nama DT]],3)</f>
        <v>577</v>
      </c>
      <c r="BE41" s="105" t="s">
        <v>424</v>
      </c>
      <c r="BF41" s="105">
        <v>14.5</v>
      </c>
      <c r="BG41" s="105">
        <v>9</v>
      </c>
      <c r="BH41" s="105" t="s">
        <v>384</v>
      </c>
      <c r="BI41" s="105" t="s">
        <v>385</v>
      </c>
      <c r="BK41" s="105" t="str">
        <f>RIGHT(Type_mud[[#This Row],[Nama DT]],3)</f>
        <v>577</v>
      </c>
      <c r="BL41" s="105" t="s">
        <v>424</v>
      </c>
      <c r="BM41" s="105" t="s">
        <v>580</v>
      </c>
    </row>
    <row r="42" spans="1:65">
      <c r="A42" s="105">
        <v>5</v>
      </c>
      <c r="B42" s="125">
        <v>1</v>
      </c>
      <c r="C42" s="105" t="s">
        <v>429</v>
      </c>
      <c r="D42" s="105" t="s">
        <v>746</v>
      </c>
      <c r="E42" s="105" t="s">
        <v>729</v>
      </c>
      <c r="F42" s="105">
        <v>26</v>
      </c>
      <c r="G42" s="105">
        <v>13.5</v>
      </c>
      <c r="H42" s="105">
        <v>351</v>
      </c>
      <c r="I42" s="105" t="s">
        <v>106</v>
      </c>
      <c r="J42" s="105" t="s">
        <v>729</v>
      </c>
      <c r="K42" s="105">
        <v>800</v>
      </c>
      <c r="L42" s="105" t="s">
        <v>730</v>
      </c>
      <c r="M42" s="105">
        <f>OB_Act[[#This Row],[Volume (BCM)]]*OB_Act[[#This Row],[Distance (Meter)]]</f>
        <v>280800</v>
      </c>
      <c r="N42" s="105" t="str">
        <f>LEFT(OB_Act[[#This Row],[Dump Truck]],3)</f>
        <v>SNS</v>
      </c>
      <c r="O42" s="126" t="str">
        <f>OB_Act[[#This Row],[Day]]&amp;OB_Act[[#This Row],[Excavator]]&amp;OB_Act[[#This Row],[Contractor]]&amp;OB_Act[[#This Row],[Pit]]&amp;OB_Act[[#This Row],[Shift]]</f>
        <v>5SNS-EX520-240SNSPIT M4EW1</v>
      </c>
      <c r="P42" s="126">
        <f>1/COUNTIF(OB_Act[Dummy_Exc],OB_Act[[#This Row],[Dummy_Exc]])</f>
        <v>0.25</v>
      </c>
      <c r="Q42" s="105" t="str">
        <f>OB_Act[[#This Row],[Day]]&amp;OB_Act[[#This Row],[Dump Truck]]&amp;OB_Act[[#This Row],[Pit]]&amp;OB_Act[[#This Row],[Shift]]</f>
        <v>5SNS-SN582PIT M4EW1</v>
      </c>
      <c r="R42" s="126">
        <f>1/COUNTIF(OB_Act[Dummy_DT],OB_Act[[#This Row],[Dummy_DT]])</f>
        <v>1</v>
      </c>
      <c r="S42" s="126">
        <f>OB_Act[[#This Row],[Distance (Meter)]]*OB_Act[[#This Row],[Volume (BCM)]]</f>
        <v>280800</v>
      </c>
      <c r="T42" s="105" t="str">
        <f>OB_Act[[#This Row],[Day]]&amp;OB_Act[[#This Row],[Dump Truck]]&amp;OB_Act[[#This Row],[Contractor]]&amp;OB_Act[[#This Row],[Excavator]]&amp;OB_Act[[#This Row],[Shift]]</f>
        <v>5SNS-SN582SNSSNS-EX520-2401</v>
      </c>
      <c r="U42" s="126">
        <f>1/COUNTIF(OB_Act[Dummy_DT/Exc],OB_Act[[#This Row],[Dummy_DT/Exc]])</f>
        <v>1</v>
      </c>
      <c r="V42" s="126" t="str">
        <f>VLOOKUP(OB_Act[[#This Row],[Day]],$AO$2:$AR$32,4,0)</f>
        <v>Week I</v>
      </c>
      <c r="W42" s="126" t="str">
        <f>VLOOKUP(OB_Act[[#This Row],[Dump Area]],$AE$2:$AF$51,2,0)</f>
        <v>M4EW</v>
      </c>
      <c r="X42" s="126" t="str">
        <f>OB_Act[[#This Row],[Excavator]]&amp;OB_Act[[#This Row],[Contractor]]</f>
        <v>SNS-EX520-240SNS</v>
      </c>
      <c r="Y42" s="126" t="str">
        <f>IF(OB_Act[[#This Row],[Material]]="MUD",VLOOKUP(OB_Act[[#This Row],[Dump Truck]],Type_mud[[Nama DT]:[Type]],2,0),VLOOKUP(OB_Act[[#This Row],[Dump Truck]],Type_DT_OB[[Nama DT]:[Type]],4,0))</f>
        <v>SNS-HINO-30T</v>
      </c>
      <c r="Z42" s="126" t="str">
        <f>"JBG-OP1-CENTRAL-"&amp;VLOOKUP(OB_Act[[#This Row],[Pit]],$AK$2:$AL$9,2,0)&amp;"-WASTE-"&amp;OB_Act[[#This Row],[Material]]</f>
        <v>JBG-OP1-CENTRAL-M4EW-WASTE-OB-PAF</v>
      </c>
      <c r="AA42" s="126" t="str">
        <f>"JBG-DUMP1-"&amp;VLOOKUP(OB_Act[[#This Row],[Dump]],$AF$2:$AG$55,2,0)&amp;"-"&amp;OB_Act[[#This Row],[Material]]</f>
        <v>JBG-DUMP1-INPIT-M4EW-OB-PAF</v>
      </c>
      <c r="AB42" s="126" t="str">
        <f>"JBG-"&amp;OB_Act[[#This Row],[Material]]</f>
        <v>JBG-OB-PAF</v>
      </c>
      <c r="AE42" s="105" t="s">
        <v>630</v>
      </c>
      <c r="AF42" s="132" t="s">
        <v>160</v>
      </c>
      <c r="AG42" s="132" t="s">
        <v>598</v>
      </c>
      <c r="BD42" s="105" t="str">
        <f>RIGHT(Type_DT_OB[[#This Row],[Nama DT]],3)</f>
        <v>578</v>
      </c>
      <c r="BE42" s="105" t="s">
        <v>425</v>
      </c>
      <c r="BF42" s="105">
        <v>14.5</v>
      </c>
      <c r="BG42" s="105">
        <v>9</v>
      </c>
      <c r="BH42" s="105" t="s">
        <v>384</v>
      </c>
      <c r="BI42" s="105" t="s">
        <v>385</v>
      </c>
      <c r="BK42" s="105" t="str">
        <f>RIGHT(Type_mud[[#This Row],[Nama DT]],3)</f>
        <v>578</v>
      </c>
      <c r="BL42" s="105" t="s">
        <v>425</v>
      </c>
      <c r="BM42" s="105" t="s">
        <v>580</v>
      </c>
    </row>
    <row r="43" spans="1:65">
      <c r="A43" s="105">
        <v>5</v>
      </c>
      <c r="B43" s="125">
        <v>1</v>
      </c>
      <c r="C43" s="105" t="s">
        <v>449</v>
      </c>
      <c r="D43" s="105" t="s">
        <v>746</v>
      </c>
      <c r="E43" s="105" t="s">
        <v>729</v>
      </c>
      <c r="F43" s="105">
        <v>18</v>
      </c>
      <c r="G43" s="105">
        <v>13.5</v>
      </c>
      <c r="H43" s="105">
        <v>243</v>
      </c>
      <c r="I43" s="105" t="s">
        <v>106</v>
      </c>
      <c r="J43" s="105" t="s">
        <v>729</v>
      </c>
      <c r="K43" s="105">
        <v>800</v>
      </c>
      <c r="L43" s="105" t="s">
        <v>730</v>
      </c>
      <c r="M43" s="105">
        <f>OB_Act[[#This Row],[Volume (BCM)]]*OB_Act[[#This Row],[Distance (Meter)]]</f>
        <v>194400</v>
      </c>
      <c r="N43" s="105" t="str">
        <f>LEFT(OB_Act[[#This Row],[Dump Truck]],3)</f>
        <v>SNS</v>
      </c>
      <c r="O43" s="126" t="str">
        <f>OB_Act[[#This Row],[Day]]&amp;OB_Act[[#This Row],[Excavator]]&amp;OB_Act[[#This Row],[Contractor]]&amp;OB_Act[[#This Row],[Pit]]&amp;OB_Act[[#This Row],[Shift]]</f>
        <v>5SNS-EX520-240SNSPIT M4EW1</v>
      </c>
      <c r="P43" s="126">
        <f>1/COUNTIF(OB_Act[Dummy_Exc],OB_Act[[#This Row],[Dummy_Exc]])</f>
        <v>0.25</v>
      </c>
      <c r="Q43" s="105" t="str">
        <f>OB_Act[[#This Row],[Day]]&amp;OB_Act[[#This Row],[Dump Truck]]&amp;OB_Act[[#This Row],[Pit]]&amp;OB_Act[[#This Row],[Shift]]</f>
        <v>5SNS-SN604PIT M4EW1</v>
      </c>
      <c r="R43" s="126">
        <f>1/COUNTIF(OB_Act[Dummy_DT],OB_Act[[#This Row],[Dummy_DT]])</f>
        <v>1</v>
      </c>
      <c r="S43" s="126">
        <f>OB_Act[[#This Row],[Distance (Meter)]]*OB_Act[[#This Row],[Volume (BCM)]]</f>
        <v>194400</v>
      </c>
      <c r="T43" s="105" t="str">
        <f>OB_Act[[#This Row],[Day]]&amp;OB_Act[[#This Row],[Dump Truck]]&amp;OB_Act[[#This Row],[Contractor]]&amp;OB_Act[[#This Row],[Excavator]]&amp;OB_Act[[#This Row],[Shift]]</f>
        <v>5SNS-SN604SNSSNS-EX520-2401</v>
      </c>
      <c r="U43" s="126">
        <f>1/COUNTIF(OB_Act[Dummy_DT/Exc],OB_Act[[#This Row],[Dummy_DT/Exc]])</f>
        <v>1</v>
      </c>
      <c r="V43" s="126" t="str">
        <f>VLOOKUP(OB_Act[[#This Row],[Day]],$AO$2:$AR$32,4,0)</f>
        <v>Week I</v>
      </c>
      <c r="W43" s="126" t="str">
        <f>VLOOKUP(OB_Act[[#This Row],[Dump Area]],$AE$2:$AF$51,2,0)</f>
        <v>M4EW</v>
      </c>
      <c r="X43" s="126" t="str">
        <f>OB_Act[[#This Row],[Excavator]]&amp;OB_Act[[#This Row],[Contractor]]</f>
        <v>SNS-EX520-240SNS</v>
      </c>
      <c r="Y43" s="126" t="str">
        <f>IF(OB_Act[[#This Row],[Material]]="MUD",VLOOKUP(OB_Act[[#This Row],[Dump Truck]],Type_mud[[Nama DT]:[Type]],2,0),VLOOKUP(OB_Act[[#This Row],[Dump Truck]],Type_DT_OB[[Nama DT]:[Type]],4,0))</f>
        <v>SNS-VOLVO-35T</v>
      </c>
      <c r="Z43" s="126" t="str">
        <f>"JBG-OP1-CENTRAL-"&amp;VLOOKUP(OB_Act[[#This Row],[Pit]],$AK$2:$AL$9,2,0)&amp;"-WASTE-"&amp;OB_Act[[#This Row],[Material]]</f>
        <v>JBG-OP1-CENTRAL-M4EW-WASTE-OB-PAF</v>
      </c>
      <c r="AA43" s="126" t="str">
        <f>"JBG-DUMP1-"&amp;VLOOKUP(OB_Act[[#This Row],[Dump]],$AF$2:$AG$55,2,0)&amp;"-"&amp;OB_Act[[#This Row],[Material]]</f>
        <v>JBG-DUMP1-INPIT-M4EW-OB-PAF</v>
      </c>
      <c r="AB43" s="126" t="str">
        <f>"JBG-"&amp;OB_Act[[#This Row],[Material]]</f>
        <v>JBG-OB-PAF</v>
      </c>
      <c r="AE43" s="105" t="s">
        <v>631</v>
      </c>
      <c r="AF43" s="105" t="s">
        <v>602</v>
      </c>
      <c r="AG43" s="105" t="s">
        <v>603</v>
      </c>
      <c r="BD43" s="105" t="str">
        <f>RIGHT(Type_DT_OB[[#This Row],[Nama DT]],3)</f>
        <v>579</v>
      </c>
      <c r="BE43" s="105" t="s">
        <v>426</v>
      </c>
      <c r="BF43" s="105">
        <v>14.5</v>
      </c>
      <c r="BG43" s="105">
        <v>9</v>
      </c>
      <c r="BH43" s="105" t="s">
        <v>384</v>
      </c>
      <c r="BI43" s="105" t="s">
        <v>385</v>
      </c>
      <c r="BK43" s="105" t="str">
        <f>RIGHT(Type_mud[[#This Row],[Nama DT]],3)</f>
        <v>579</v>
      </c>
      <c r="BL43" s="105" t="s">
        <v>426</v>
      </c>
      <c r="BM43" s="105" t="s">
        <v>580</v>
      </c>
    </row>
    <row r="44" spans="1:65">
      <c r="A44" s="105">
        <v>5</v>
      </c>
      <c r="B44" s="125">
        <v>1</v>
      </c>
      <c r="C44" s="105" t="s">
        <v>452</v>
      </c>
      <c r="D44" s="105" t="s">
        <v>745</v>
      </c>
      <c r="E44" s="105" t="s">
        <v>729</v>
      </c>
      <c r="F44" s="105">
        <v>17</v>
      </c>
      <c r="G44" s="105">
        <v>13.5</v>
      </c>
      <c r="H44" s="105">
        <v>229.5</v>
      </c>
      <c r="I44" s="105" t="s">
        <v>109</v>
      </c>
      <c r="J44" s="105" t="s">
        <v>587</v>
      </c>
      <c r="K44" s="105">
        <v>2000</v>
      </c>
      <c r="L44" s="105" t="s">
        <v>730</v>
      </c>
      <c r="M44" s="105">
        <f>OB_Act[[#This Row],[Volume (BCM)]]*OB_Act[[#This Row],[Distance (Meter)]]</f>
        <v>459000</v>
      </c>
      <c r="N44" s="105" t="str">
        <f>LEFT(OB_Act[[#This Row],[Dump Truck]],3)</f>
        <v>SNS</v>
      </c>
      <c r="O44" s="126" t="str">
        <f>OB_Act[[#This Row],[Day]]&amp;OB_Act[[#This Row],[Excavator]]&amp;OB_Act[[#This Row],[Contractor]]&amp;OB_Act[[#This Row],[Pit]]&amp;OB_Act[[#This Row],[Shift]]</f>
        <v>5SNS-EX520-242SNSPIT M4EW1</v>
      </c>
      <c r="P44" s="126">
        <f>1/COUNTIF(OB_Act[Dummy_Exc],OB_Act[[#This Row],[Dummy_Exc]])</f>
        <v>0.14285714285714285</v>
      </c>
      <c r="Q44" s="105" t="str">
        <f>OB_Act[[#This Row],[Day]]&amp;OB_Act[[#This Row],[Dump Truck]]&amp;OB_Act[[#This Row],[Pit]]&amp;OB_Act[[#This Row],[Shift]]</f>
        <v>5SNS-SN607PIT M4EW1</v>
      </c>
      <c r="R44" s="126">
        <f>1/COUNTIF(OB_Act[Dummy_DT],OB_Act[[#This Row],[Dummy_DT]])</f>
        <v>1</v>
      </c>
      <c r="S44" s="126">
        <f>OB_Act[[#This Row],[Distance (Meter)]]*OB_Act[[#This Row],[Volume (BCM)]]</f>
        <v>459000</v>
      </c>
      <c r="T44" s="105" t="str">
        <f>OB_Act[[#This Row],[Day]]&amp;OB_Act[[#This Row],[Dump Truck]]&amp;OB_Act[[#This Row],[Contractor]]&amp;OB_Act[[#This Row],[Excavator]]&amp;OB_Act[[#This Row],[Shift]]</f>
        <v>5SNS-SN607SNSSNS-EX520-2421</v>
      </c>
      <c r="U44" s="126">
        <f>1/COUNTIF(OB_Act[Dummy_DT/Exc],OB_Act[[#This Row],[Dummy_DT/Exc]])</f>
        <v>1</v>
      </c>
      <c r="V44" s="126" t="str">
        <f>VLOOKUP(OB_Act[[#This Row],[Day]],$AO$2:$AR$32,4,0)</f>
        <v>Week I</v>
      </c>
      <c r="W44" s="126" t="str">
        <f>VLOOKUP(OB_Act[[#This Row],[Dump Area]],$AE$2:$AF$51,2,0)</f>
        <v>M45C</v>
      </c>
      <c r="X44" s="126" t="str">
        <f>OB_Act[[#This Row],[Excavator]]&amp;OB_Act[[#This Row],[Contractor]]</f>
        <v>SNS-EX520-242SNS</v>
      </c>
      <c r="Y44" s="126" t="str">
        <f>IF(OB_Act[[#This Row],[Material]]="MUD",VLOOKUP(OB_Act[[#This Row],[Dump Truck]],Type_mud[[Nama DT]:[Type]],2,0),VLOOKUP(OB_Act[[#This Row],[Dump Truck]],Type_DT_OB[[Nama DT]:[Type]],4,0))</f>
        <v>SNS-VOLVO-35T</v>
      </c>
      <c r="Z44" s="126" t="str">
        <f>"JBG-OP1-CENTRAL-"&amp;VLOOKUP(OB_Act[[#This Row],[Pit]],$AK$2:$AL$9,2,0)&amp;"-WASTE-"&amp;OB_Act[[#This Row],[Material]]</f>
        <v>JBG-OP1-CENTRAL-M4EW-WASTE-TS</v>
      </c>
      <c r="AA44" s="126" t="str">
        <f>"JBG-DUMP1-"&amp;VLOOKUP(OB_Act[[#This Row],[Dump]],$AF$2:$AG$55,2,0)&amp;"-"&amp;OB_Act[[#This Row],[Material]]</f>
        <v>JBG-DUMP1-INPIT-M45C-TS</v>
      </c>
      <c r="AB44" s="126" t="str">
        <f>"JBG-"&amp;OB_Act[[#This Row],[Material]]</f>
        <v>JBG-TS</v>
      </c>
      <c r="AE44" s="105" t="s">
        <v>632</v>
      </c>
      <c r="AF44" s="105" t="s">
        <v>602</v>
      </c>
      <c r="AG44" s="105" t="s">
        <v>603</v>
      </c>
      <c r="BD44" s="105" t="str">
        <f>RIGHT(Type_DT_OB[[#This Row],[Nama DT]],3)</f>
        <v>580</v>
      </c>
      <c r="BE44" s="105" t="s">
        <v>427</v>
      </c>
      <c r="BF44" s="105">
        <v>14.5</v>
      </c>
      <c r="BG44" s="105">
        <v>9</v>
      </c>
      <c r="BH44" s="105" t="s">
        <v>384</v>
      </c>
      <c r="BI44" s="105" t="s">
        <v>385</v>
      </c>
      <c r="BK44" s="105" t="str">
        <f>RIGHT(Type_mud[[#This Row],[Nama DT]],3)</f>
        <v>580</v>
      </c>
      <c r="BL44" s="105" t="s">
        <v>427</v>
      </c>
      <c r="BM44" s="105" t="s">
        <v>580</v>
      </c>
    </row>
    <row r="45" spans="1:65">
      <c r="A45" s="105">
        <v>5</v>
      </c>
      <c r="B45" s="125">
        <v>1</v>
      </c>
      <c r="C45" s="105" t="s">
        <v>454</v>
      </c>
      <c r="D45" s="105" t="s">
        <v>745</v>
      </c>
      <c r="E45" s="105" t="s">
        <v>729</v>
      </c>
      <c r="F45" s="105">
        <v>18</v>
      </c>
      <c r="G45" s="105">
        <v>13.5</v>
      </c>
      <c r="H45" s="105">
        <v>243</v>
      </c>
      <c r="I45" s="105" t="s">
        <v>109</v>
      </c>
      <c r="J45" s="105" t="s">
        <v>587</v>
      </c>
      <c r="K45" s="105">
        <v>2000</v>
      </c>
      <c r="L45" s="105" t="s">
        <v>730</v>
      </c>
      <c r="M45" s="105">
        <f>OB_Act[[#This Row],[Volume (BCM)]]*OB_Act[[#This Row],[Distance (Meter)]]</f>
        <v>486000</v>
      </c>
      <c r="N45" s="105" t="str">
        <f>LEFT(OB_Act[[#This Row],[Dump Truck]],3)</f>
        <v>SNS</v>
      </c>
      <c r="O45" s="126" t="str">
        <f>OB_Act[[#This Row],[Day]]&amp;OB_Act[[#This Row],[Excavator]]&amp;OB_Act[[#This Row],[Contractor]]&amp;OB_Act[[#This Row],[Pit]]&amp;OB_Act[[#This Row],[Shift]]</f>
        <v>5SNS-EX520-242SNSPIT M4EW1</v>
      </c>
      <c r="P45" s="126">
        <f>1/COUNTIF(OB_Act[Dummy_Exc],OB_Act[[#This Row],[Dummy_Exc]])</f>
        <v>0.14285714285714285</v>
      </c>
      <c r="Q45" s="105" t="str">
        <f>OB_Act[[#This Row],[Day]]&amp;OB_Act[[#This Row],[Dump Truck]]&amp;OB_Act[[#This Row],[Pit]]&amp;OB_Act[[#This Row],[Shift]]</f>
        <v>5SNS-SN609PIT M4EW1</v>
      </c>
      <c r="R45" s="126">
        <f>1/COUNTIF(OB_Act[Dummy_DT],OB_Act[[#This Row],[Dummy_DT]])</f>
        <v>1</v>
      </c>
      <c r="S45" s="126">
        <f>OB_Act[[#This Row],[Distance (Meter)]]*OB_Act[[#This Row],[Volume (BCM)]]</f>
        <v>486000</v>
      </c>
      <c r="T45" s="105" t="str">
        <f>OB_Act[[#This Row],[Day]]&amp;OB_Act[[#This Row],[Dump Truck]]&amp;OB_Act[[#This Row],[Contractor]]&amp;OB_Act[[#This Row],[Excavator]]&amp;OB_Act[[#This Row],[Shift]]</f>
        <v>5SNS-SN609SNSSNS-EX520-2421</v>
      </c>
      <c r="U45" s="126">
        <f>1/COUNTIF(OB_Act[Dummy_DT/Exc],OB_Act[[#This Row],[Dummy_DT/Exc]])</f>
        <v>1</v>
      </c>
      <c r="V45" s="126" t="str">
        <f>VLOOKUP(OB_Act[[#This Row],[Day]],$AO$2:$AR$32,4,0)</f>
        <v>Week I</v>
      </c>
      <c r="W45" s="126" t="str">
        <f>VLOOKUP(OB_Act[[#This Row],[Dump Area]],$AE$2:$AF$51,2,0)</f>
        <v>M45C</v>
      </c>
      <c r="X45" s="126" t="str">
        <f>OB_Act[[#This Row],[Excavator]]&amp;OB_Act[[#This Row],[Contractor]]</f>
        <v>SNS-EX520-242SNS</v>
      </c>
      <c r="Y45" s="126" t="str">
        <f>IF(OB_Act[[#This Row],[Material]]="MUD",VLOOKUP(OB_Act[[#This Row],[Dump Truck]],Type_mud[[Nama DT]:[Type]],2,0),VLOOKUP(OB_Act[[#This Row],[Dump Truck]],Type_DT_OB[[Nama DT]:[Type]],4,0))</f>
        <v>SNS-HINO-30T</v>
      </c>
      <c r="Z45" s="126" t="str">
        <f>"JBG-OP1-CENTRAL-"&amp;VLOOKUP(OB_Act[[#This Row],[Pit]],$AK$2:$AL$9,2,0)&amp;"-WASTE-"&amp;OB_Act[[#This Row],[Material]]</f>
        <v>JBG-OP1-CENTRAL-M4EW-WASTE-TS</v>
      </c>
      <c r="AA45" s="126" t="str">
        <f>"JBG-DUMP1-"&amp;VLOOKUP(OB_Act[[#This Row],[Dump]],$AF$2:$AG$55,2,0)&amp;"-"&amp;OB_Act[[#This Row],[Material]]</f>
        <v>JBG-DUMP1-INPIT-M45C-TS</v>
      </c>
      <c r="AB45" s="126" t="str">
        <f>"JBG-"&amp;OB_Act[[#This Row],[Material]]</f>
        <v>JBG-TS</v>
      </c>
      <c r="AE45" s="105" t="s">
        <v>633</v>
      </c>
      <c r="AF45" s="105" t="s">
        <v>160</v>
      </c>
      <c r="AG45" s="105" t="s">
        <v>598</v>
      </c>
      <c r="BD45" s="105" t="str">
        <f>RIGHT(Type_DT_OB[[#This Row],[Nama DT]],3)</f>
        <v>581</v>
      </c>
      <c r="BE45" s="105" t="s">
        <v>428</v>
      </c>
      <c r="BF45" s="105">
        <v>14.5</v>
      </c>
      <c r="BG45" s="105">
        <v>9</v>
      </c>
      <c r="BH45" s="105" t="s">
        <v>384</v>
      </c>
      <c r="BI45" s="105" t="s">
        <v>385</v>
      </c>
      <c r="BK45" s="105" t="str">
        <f>RIGHT(Type_mud[[#This Row],[Nama DT]],3)</f>
        <v>581</v>
      </c>
      <c r="BL45" s="105" t="s">
        <v>428</v>
      </c>
      <c r="BM45" s="105" t="s">
        <v>580</v>
      </c>
    </row>
    <row r="46" spans="1:65">
      <c r="A46" s="105">
        <v>5</v>
      </c>
      <c r="B46" s="125">
        <v>1</v>
      </c>
      <c r="C46" s="105" t="s">
        <v>450</v>
      </c>
      <c r="D46" s="105" t="s">
        <v>745</v>
      </c>
      <c r="E46" s="105" t="s">
        <v>729</v>
      </c>
      <c r="F46" s="105">
        <v>14</v>
      </c>
      <c r="G46" s="105">
        <v>13.5</v>
      </c>
      <c r="H46" s="105">
        <v>189</v>
      </c>
      <c r="I46" s="105" t="s">
        <v>109</v>
      </c>
      <c r="J46" s="105" t="s">
        <v>587</v>
      </c>
      <c r="K46" s="105">
        <v>2000</v>
      </c>
      <c r="L46" s="105" t="s">
        <v>730</v>
      </c>
      <c r="M46" s="105">
        <f>OB_Act[[#This Row],[Volume (BCM)]]*OB_Act[[#This Row],[Distance (Meter)]]</f>
        <v>378000</v>
      </c>
      <c r="N46" s="105" t="str">
        <f>LEFT(OB_Act[[#This Row],[Dump Truck]],3)</f>
        <v>SNS</v>
      </c>
      <c r="O46" s="126" t="str">
        <f>OB_Act[[#This Row],[Day]]&amp;OB_Act[[#This Row],[Excavator]]&amp;OB_Act[[#This Row],[Contractor]]&amp;OB_Act[[#This Row],[Pit]]&amp;OB_Act[[#This Row],[Shift]]</f>
        <v>5SNS-EX520-242SNSPIT M4EW1</v>
      </c>
      <c r="P46" s="126">
        <f>1/COUNTIF(OB_Act[Dummy_Exc],OB_Act[[#This Row],[Dummy_Exc]])</f>
        <v>0.14285714285714285</v>
      </c>
      <c r="Q46" s="105" t="str">
        <f>OB_Act[[#This Row],[Day]]&amp;OB_Act[[#This Row],[Dump Truck]]&amp;OB_Act[[#This Row],[Pit]]&amp;OB_Act[[#This Row],[Shift]]</f>
        <v>5SNS-SN605PIT M4EW1</v>
      </c>
      <c r="R46" s="126">
        <f>1/COUNTIF(OB_Act[Dummy_DT],OB_Act[[#This Row],[Dummy_DT]])</f>
        <v>1</v>
      </c>
      <c r="S46" s="126">
        <f>OB_Act[[#This Row],[Distance (Meter)]]*OB_Act[[#This Row],[Volume (BCM)]]</f>
        <v>378000</v>
      </c>
      <c r="T46" s="105" t="str">
        <f>OB_Act[[#This Row],[Day]]&amp;OB_Act[[#This Row],[Dump Truck]]&amp;OB_Act[[#This Row],[Contractor]]&amp;OB_Act[[#This Row],[Excavator]]&amp;OB_Act[[#This Row],[Shift]]</f>
        <v>5SNS-SN605SNSSNS-EX520-2421</v>
      </c>
      <c r="U46" s="126">
        <f>1/COUNTIF(OB_Act[Dummy_DT/Exc],OB_Act[[#This Row],[Dummy_DT/Exc]])</f>
        <v>1</v>
      </c>
      <c r="V46" s="126" t="str">
        <f>VLOOKUP(OB_Act[[#This Row],[Day]],$AO$2:$AR$32,4,0)</f>
        <v>Week I</v>
      </c>
      <c r="W46" s="126" t="str">
        <f>VLOOKUP(OB_Act[[#This Row],[Dump Area]],$AE$2:$AF$51,2,0)</f>
        <v>M45C</v>
      </c>
      <c r="X46" s="126" t="str">
        <f>OB_Act[[#This Row],[Excavator]]&amp;OB_Act[[#This Row],[Contractor]]</f>
        <v>SNS-EX520-242SNS</v>
      </c>
      <c r="Y46" s="126" t="str">
        <f>IF(OB_Act[[#This Row],[Material]]="MUD",VLOOKUP(OB_Act[[#This Row],[Dump Truck]],Type_mud[[Nama DT]:[Type]],2,0),VLOOKUP(OB_Act[[#This Row],[Dump Truck]],Type_DT_OB[[Nama DT]:[Type]],4,0))</f>
        <v>SNS-VOLVO-35T</v>
      </c>
      <c r="Z46" s="126" t="str">
        <f>"JBG-OP1-CENTRAL-"&amp;VLOOKUP(OB_Act[[#This Row],[Pit]],$AK$2:$AL$9,2,0)&amp;"-WASTE-"&amp;OB_Act[[#This Row],[Material]]</f>
        <v>JBG-OP1-CENTRAL-M4EW-WASTE-TS</v>
      </c>
      <c r="AA46" s="126" t="str">
        <f>"JBG-DUMP1-"&amp;VLOOKUP(OB_Act[[#This Row],[Dump]],$AF$2:$AG$55,2,0)&amp;"-"&amp;OB_Act[[#This Row],[Material]]</f>
        <v>JBG-DUMP1-INPIT-M45C-TS</v>
      </c>
      <c r="AB46" s="126" t="str">
        <f>"JBG-"&amp;OB_Act[[#This Row],[Material]]</f>
        <v>JBG-TS</v>
      </c>
      <c r="AE46" s="105" t="s">
        <v>634</v>
      </c>
      <c r="AF46" s="105" t="s">
        <v>23</v>
      </c>
      <c r="AG46" s="105" t="s">
        <v>635</v>
      </c>
      <c r="BD46" s="105" t="str">
        <f>RIGHT(Type_DT_OB[[#This Row],[Nama DT]],3)</f>
        <v>582</v>
      </c>
      <c r="BE46" s="105" t="s">
        <v>429</v>
      </c>
      <c r="BF46" s="105">
        <v>14.5</v>
      </c>
      <c r="BG46" s="105">
        <v>9</v>
      </c>
      <c r="BH46" s="105" t="s">
        <v>384</v>
      </c>
      <c r="BI46" s="105" t="s">
        <v>385</v>
      </c>
      <c r="BK46" s="105" t="str">
        <f>RIGHT(Type_mud[[#This Row],[Nama DT]],3)</f>
        <v>582</v>
      </c>
      <c r="BL46" s="105" t="s">
        <v>429</v>
      </c>
      <c r="BM46" s="105" t="s">
        <v>580</v>
      </c>
    </row>
    <row r="47" spans="1:65">
      <c r="A47" s="105">
        <v>7</v>
      </c>
      <c r="B47" s="125">
        <v>1</v>
      </c>
      <c r="C47" s="105" t="s">
        <v>452</v>
      </c>
      <c r="D47" s="105" t="s">
        <v>745</v>
      </c>
      <c r="E47" s="105" t="s">
        <v>729</v>
      </c>
      <c r="F47" s="105">
        <v>19</v>
      </c>
      <c r="G47" s="105">
        <v>13.5</v>
      </c>
      <c r="H47" s="105">
        <v>256.5</v>
      </c>
      <c r="I47" s="105" t="s">
        <v>109</v>
      </c>
      <c r="J47" s="105" t="s">
        <v>742</v>
      </c>
      <c r="K47" s="105">
        <v>3600</v>
      </c>
      <c r="L47" s="105" t="s">
        <v>730</v>
      </c>
      <c r="M47" s="105">
        <f>OB_Act[[#This Row],[Volume (BCM)]]*OB_Act[[#This Row],[Distance (Meter)]]</f>
        <v>923400</v>
      </c>
      <c r="N47" s="105" t="str">
        <f>LEFT(OB_Act[[#This Row],[Dump Truck]],3)</f>
        <v>SNS</v>
      </c>
      <c r="O47" s="126" t="str">
        <f>OB_Act[[#This Row],[Day]]&amp;OB_Act[[#This Row],[Excavator]]&amp;OB_Act[[#This Row],[Contractor]]&amp;OB_Act[[#This Row],[Pit]]&amp;OB_Act[[#This Row],[Shift]]</f>
        <v>7SNS-EX520-242SNSPIT M4EW1</v>
      </c>
      <c r="P47" s="126">
        <f>1/COUNTIF(OB_Act[Dummy_Exc],OB_Act[[#This Row],[Dummy_Exc]])</f>
        <v>0.33333333333333331</v>
      </c>
      <c r="Q47" s="105" t="str">
        <f>OB_Act[[#This Row],[Day]]&amp;OB_Act[[#This Row],[Dump Truck]]&amp;OB_Act[[#This Row],[Pit]]&amp;OB_Act[[#This Row],[Shift]]</f>
        <v>7SNS-SN607PIT M4EW1</v>
      </c>
      <c r="R47" s="126">
        <f>1/COUNTIF(OB_Act[Dummy_DT],OB_Act[[#This Row],[Dummy_DT]])</f>
        <v>1</v>
      </c>
      <c r="S47" s="126">
        <f>OB_Act[[#This Row],[Distance (Meter)]]*OB_Act[[#This Row],[Volume (BCM)]]</f>
        <v>923400</v>
      </c>
      <c r="T47" s="105" t="str">
        <f>OB_Act[[#This Row],[Day]]&amp;OB_Act[[#This Row],[Dump Truck]]&amp;OB_Act[[#This Row],[Contractor]]&amp;OB_Act[[#This Row],[Excavator]]&amp;OB_Act[[#This Row],[Shift]]</f>
        <v>7SNS-SN607SNSSNS-EX520-2421</v>
      </c>
      <c r="U47" s="126">
        <f>1/COUNTIF(OB_Act[Dummy_DT/Exc],OB_Act[[#This Row],[Dummy_DT/Exc]])</f>
        <v>1</v>
      </c>
      <c r="V47" s="126" t="str">
        <f>VLOOKUP(OB_Act[[#This Row],[Day]],$AO$2:$AR$32,4,0)</f>
        <v>Week I</v>
      </c>
      <c r="W47" s="126" t="e">
        <f>VLOOKUP(OB_Act[[#This Row],[Dump Area]],$AE$2:$AF$51,2,0)</f>
        <v>#N/A</v>
      </c>
      <c r="X47" s="126" t="str">
        <f>OB_Act[[#This Row],[Excavator]]&amp;OB_Act[[#This Row],[Contractor]]</f>
        <v>SNS-EX520-242SNS</v>
      </c>
      <c r="Y47" s="126" t="str">
        <f>IF(OB_Act[[#This Row],[Material]]="MUD",VLOOKUP(OB_Act[[#This Row],[Dump Truck]],Type_mud[[Nama DT]:[Type]],2,0),VLOOKUP(OB_Act[[#This Row],[Dump Truck]],Type_DT_OB[[Nama DT]:[Type]],4,0))</f>
        <v>SNS-VOLVO-35T</v>
      </c>
      <c r="Z47" s="126" t="str">
        <f>"JBG-OP1-CENTRAL-"&amp;VLOOKUP(OB_Act[[#This Row],[Pit]],$AK$2:$AL$9,2,0)&amp;"-WASTE-"&amp;OB_Act[[#This Row],[Material]]</f>
        <v>JBG-OP1-CENTRAL-M4EW-WASTE-TS</v>
      </c>
      <c r="AA47" s="126" t="e">
        <f>"JBG-DUMP1-"&amp;VLOOKUP(OB_Act[[#This Row],[Dump]],$AF$2:$AG$55,2,0)&amp;"-"&amp;OB_Act[[#This Row],[Material]]</f>
        <v>#N/A</v>
      </c>
      <c r="AB47" s="126" t="str">
        <f>"JBG-"&amp;OB_Act[[#This Row],[Material]]</f>
        <v>JBG-TS</v>
      </c>
      <c r="AE47" s="105" t="s">
        <v>122</v>
      </c>
      <c r="AF47" s="105" t="s">
        <v>602</v>
      </c>
      <c r="AG47" s="105" t="s">
        <v>603</v>
      </c>
      <c r="BD47" s="105" t="str">
        <f>RIGHT(Type_DT_OB[[#This Row],[Nama DT]],3)</f>
        <v>588</v>
      </c>
      <c r="BE47" s="105" t="s">
        <v>430</v>
      </c>
      <c r="BF47" s="105">
        <v>13</v>
      </c>
      <c r="BG47" s="105">
        <v>9</v>
      </c>
      <c r="BH47" s="105" t="s">
        <v>636</v>
      </c>
      <c r="BI47" s="105" t="s">
        <v>431</v>
      </c>
      <c r="BK47" s="105" t="str">
        <f>RIGHT(Type_mud[[#This Row],[Nama DT]],3)</f>
        <v>588</v>
      </c>
      <c r="BL47" s="105" t="s">
        <v>430</v>
      </c>
      <c r="BM47" s="105" t="s">
        <v>637</v>
      </c>
    </row>
    <row r="48" spans="1:65">
      <c r="A48" s="105">
        <v>7</v>
      </c>
      <c r="B48" s="125">
        <v>1</v>
      </c>
      <c r="C48" s="105" t="s">
        <v>454</v>
      </c>
      <c r="D48" s="105" t="s">
        <v>745</v>
      </c>
      <c r="E48" s="105" t="s">
        <v>729</v>
      </c>
      <c r="F48" s="105">
        <v>19</v>
      </c>
      <c r="G48" s="105">
        <v>13.5</v>
      </c>
      <c r="H48" s="105">
        <v>256.5</v>
      </c>
      <c r="I48" s="105" t="s">
        <v>109</v>
      </c>
      <c r="J48" s="105" t="s">
        <v>742</v>
      </c>
      <c r="K48" s="105">
        <v>3600</v>
      </c>
      <c r="L48" s="105" t="s">
        <v>730</v>
      </c>
      <c r="M48" s="105">
        <f>OB_Act[[#This Row],[Volume (BCM)]]*OB_Act[[#This Row],[Distance (Meter)]]</f>
        <v>923400</v>
      </c>
      <c r="N48" s="105" t="str">
        <f>LEFT(OB_Act[[#This Row],[Dump Truck]],3)</f>
        <v>SNS</v>
      </c>
      <c r="O48" s="126" t="str">
        <f>OB_Act[[#This Row],[Day]]&amp;OB_Act[[#This Row],[Excavator]]&amp;OB_Act[[#This Row],[Contractor]]&amp;OB_Act[[#This Row],[Pit]]&amp;OB_Act[[#This Row],[Shift]]</f>
        <v>7SNS-EX520-242SNSPIT M4EW1</v>
      </c>
      <c r="P48" s="126">
        <f>1/COUNTIF(OB_Act[Dummy_Exc],OB_Act[[#This Row],[Dummy_Exc]])</f>
        <v>0.33333333333333331</v>
      </c>
      <c r="Q48" s="105" t="str">
        <f>OB_Act[[#This Row],[Day]]&amp;OB_Act[[#This Row],[Dump Truck]]&amp;OB_Act[[#This Row],[Pit]]&amp;OB_Act[[#This Row],[Shift]]</f>
        <v>7SNS-SN609PIT M4EW1</v>
      </c>
      <c r="R48" s="126">
        <f>1/COUNTIF(OB_Act[Dummy_DT],OB_Act[[#This Row],[Dummy_DT]])</f>
        <v>1</v>
      </c>
      <c r="S48" s="126">
        <f>OB_Act[[#This Row],[Distance (Meter)]]*OB_Act[[#This Row],[Volume (BCM)]]</f>
        <v>923400</v>
      </c>
      <c r="T48" s="105" t="str">
        <f>OB_Act[[#This Row],[Day]]&amp;OB_Act[[#This Row],[Dump Truck]]&amp;OB_Act[[#This Row],[Contractor]]&amp;OB_Act[[#This Row],[Excavator]]&amp;OB_Act[[#This Row],[Shift]]</f>
        <v>7SNS-SN609SNSSNS-EX520-2421</v>
      </c>
      <c r="U48" s="126">
        <f>1/COUNTIF(OB_Act[Dummy_DT/Exc],OB_Act[[#This Row],[Dummy_DT/Exc]])</f>
        <v>1</v>
      </c>
      <c r="V48" s="126" t="str">
        <f>VLOOKUP(OB_Act[[#This Row],[Day]],$AO$2:$AR$32,4,0)</f>
        <v>Week I</v>
      </c>
      <c r="W48" s="126" t="e">
        <f>VLOOKUP(OB_Act[[#This Row],[Dump Area]],$AE$2:$AF$51,2,0)</f>
        <v>#N/A</v>
      </c>
      <c r="X48" s="126" t="str">
        <f>OB_Act[[#This Row],[Excavator]]&amp;OB_Act[[#This Row],[Contractor]]</f>
        <v>SNS-EX520-242SNS</v>
      </c>
      <c r="Y48" s="126" t="str">
        <f>IF(OB_Act[[#This Row],[Material]]="MUD",VLOOKUP(OB_Act[[#This Row],[Dump Truck]],Type_mud[[Nama DT]:[Type]],2,0),VLOOKUP(OB_Act[[#This Row],[Dump Truck]],Type_DT_OB[[Nama DT]:[Type]],4,0))</f>
        <v>SNS-HINO-30T</v>
      </c>
      <c r="Z48" s="126" t="str">
        <f>"JBG-OP1-CENTRAL-"&amp;VLOOKUP(OB_Act[[#This Row],[Pit]],$AK$2:$AL$9,2,0)&amp;"-WASTE-"&amp;OB_Act[[#This Row],[Material]]</f>
        <v>JBG-OP1-CENTRAL-M4EW-WASTE-TS</v>
      </c>
      <c r="AA48" s="126" t="e">
        <f>"JBG-DUMP1-"&amp;VLOOKUP(OB_Act[[#This Row],[Dump]],$AF$2:$AG$55,2,0)&amp;"-"&amp;OB_Act[[#This Row],[Material]]</f>
        <v>#N/A</v>
      </c>
      <c r="AB48" s="126" t="str">
        <f>"JBG-"&amp;OB_Act[[#This Row],[Material]]</f>
        <v>JBG-TS</v>
      </c>
      <c r="AE48" s="105" t="s">
        <v>638</v>
      </c>
      <c r="AF48" s="105" t="s">
        <v>583</v>
      </c>
      <c r="AG48" s="105" t="s">
        <v>639</v>
      </c>
      <c r="BD48" s="105" t="str">
        <f>RIGHT(Type_DT_OB[[#This Row],[Nama DT]],3)</f>
        <v>589</v>
      </c>
      <c r="BE48" s="105" t="s">
        <v>432</v>
      </c>
      <c r="BF48" s="105">
        <v>13</v>
      </c>
      <c r="BG48" s="105">
        <v>9</v>
      </c>
      <c r="BH48" s="105" t="s">
        <v>636</v>
      </c>
      <c r="BI48" s="105" t="s">
        <v>431</v>
      </c>
      <c r="BK48" s="105" t="str">
        <f>RIGHT(Type_mud[[#This Row],[Nama DT]],3)</f>
        <v>589</v>
      </c>
      <c r="BL48" s="105" t="s">
        <v>432</v>
      </c>
      <c r="BM48" s="105" t="s">
        <v>637</v>
      </c>
    </row>
    <row r="49" spans="1:65">
      <c r="A49" s="105">
        <v>7</v>
      </c>
      <c r="B49" s="125">
        <v>1</v>
      </c>
      <c r="C49" s="105" t="s">
        <v>450</v>
      </c>
      <c r="D49" s="105" t="s">
        <v>745</v>
      </c>
      <c r="E49" s="105" t="s">
        <v>729</v>
      </c>
      <c r="F49" s="105">
        <v>9</v>
      </c>
      <c r="G49" s="105">
        <v>13.5</v>
      </c>
      <c r="H49" s="105">
        <v>121.5</v>
      </c>
      <c r="I49" s="105" t="s">
        <v>109</v>
      </c>
      <c r="J49" s="105" t="s">
        <v>742</v>
      </c>
      <c r="K49" s="105">
        <v>3600</v>
      </c>
      <c r="L49" s="105" t="s">
        <v>730</v>
      </c>
      <c r="M49" s="105">
        <f>OB_Act[[#This Row],[Volume (BCM)]]*OB_Act[[#This Row],[Distance (Meter)]]</f>
        <v>437400</v>
      </c>
      <c r="N49" s="105" t="str">
        <f>LEFT(OB_Act[[#This Row],[Dump Truck]],3)</f>
        <v>SNS</v>
      </c>
      <c r="O49" s="126" t="str">
        <f>OB_Act[[#This Row],[Day]]&amp;OB_Act[[#This Row],[Excavator]]&amp;OB_Act[[#This Row],[Contractor]]&amp;OB_Act[[#This Row],[Pit]]&amp;OB_Act[[#This Row],[Shift]]</f>
        <v>7SNS-EX520-242SNSPIT M4EW1</v>
      </c>
      <c r="P49" s="126">
        <f>1/COUNTIF(OB_Act[Dummy_Exc],OB_Act[[#This Row],[Dummy_Exc]])</f>
        <v>0.33333333333333331</v>
      </c>
      <c r="Q49" s="105" t="str">
        <f>OB_Act[[#This Row],[Day]]&amp;OB_Act[[#This Row],[Dump Truck]]&amp;OB_Act[[#This Row],[Pit]]&amp;OB_Act[[#This Row],[Shift]]</f>
        <v>7SNS-SN605PIT M4EW1</v>
      </c>
      <c r="R49" s="126">
        <f>1/COUNTIF(OB_Act[Dummy_DT],OB_Act[[#This Row],[Dummy_DT]])</f>
        <v>1</v>
      </c>
      <c r="S49" s="126">
        <f>OB_Act[[#This Row],[Distance (Meter)]]*OB_Act[[#This Row],[Volume (BCM)]]</f>
        <v>437400</v>
      </c>
      <c r="T49" s="105" t="str">
        <f>OB_Act[[#This Row],[Day]]&amp;OB_Act[[#This Row],[Dump Truck]]&amp;OB_Act[[#This Row],[Contractor]]&amp;OB_Act[[#This Row],[Excavator]]&amp;OB_Act[[#This Row],[Shift]]</f>
        <v>7SNS-SN605SNSSNS-EX520-2421</v>
      </c>
      <c r="U49" s="126">
        <f>1/COUNTIF(OB_Act[Dummy_DT/Exc],OB_Act[[#This Row],[Dummy_DT/Exc]])</f>
        <v>1</v>
      </c>
      <c r="V49" s="126" t="str">
        <f>VLOOKUP(OB_Act[[#This Row],[Day]],$AO$2:$AR$32,4,0)</f>
        <v>Week I</v>
      </c>
      <c r="W49" s="126" t="e">
        <f>VLOOKUP(OB_Act[[#This Row],[Dump Area]],$AE$2:$AF$51,2,0)</f>
        <v>#N/A</v>
      </c>
      <c r="X49" s="126" t="str">
        <f>OB_Act[[#This Row],[Excavator]]&amp;OB_Act[[#This Row],[Contractor]]</f>
        <v>SNS-EX520-242SNS</v>
      </c>
      <c r="Y49" s="126" t="str">
        <f>IF(OB_Act[[#This Row],[Material]]="MUD",VLOOKUP(OB_Act[[#This Row],[Dump Truck]],Type_mud[[Nama DT]:[Type]],2,0),VLOOKUP(OB_Act[[#This Row],[Dump Truck]],Type_DT_OB[[Nama DT]:[Type]],4,0))</f>
        <v>SNS-VOLVO-35T</v>
      </c>
      <c r="Z49" s="126" t="str">
        <f>"JBG-OP1-CENTRAL-"&amp;VLOOKUP(OB_Act[[#This Row],[Pit]],$AK$2:$AL$9,2,0)&amp;"-WASTE-"&amp;OB_Act[[#This Row],[Material]]</f>
        <v>JBG-OP1-CENTRAL-M4EW-WASTE-TS</v>
      </c>
      <c r="AA49" s="126" t="e">
        <f>"JBG-DUMP1-"&amp;VLOOKUP(OB_Act[[#This Row],[Dump]],$AF$2:$AG$55,2,0)&amp;"-"&amp;OB_Act[[#This Row],[Material]]</f>
        <v>#N/A</v>
      </c>
      <c r="AB49" s="126" t="str">
        <f>"JBG-"&amp;OB_Act[[#This Row],[Material]]</f>
        <v>JBG-TS</v>
      </c>
      <c r="AE49" s="105" t="s">
        <v>23</v>
      </c>
      <c r="AF49" s="105" t="s">
        <v>640</v>
      </c>
      <c r="AG49" s="105" t="s">
        <v>635</v>
      </c>
      <c r="BD49" s="105" t="str">
        <f>RIGHT(Type_DT_OB[[#This Row],[Nama DT]],3)</f>
        <v>590</v>
      </c>
      <c r="BE49" s="105" t="s">
        <v>433</v>
      </c>
      <c r="BF49" s="105">
        <v>13</v>
      </c>
      <c r="BG49" s="105">
        <v>9</v>
      </c>
      <c r="BH49" s="105" t="s">
        <v>636</v>
      </c>
      <c r="BI49" s="105" t="s">
        <v>431</v>
      </c>
      <c r="BK49" s="105" t="str">
        <f>RIGHT(Type_mud[[#This Row],[Nama DT]],3)</f>
        <v>590</v>
      </c>
      <c r="BL49" s="105" t="s">
        <v>433</v>
      </c>
      <c r="BM49" s="105" t="s">
        <v>637</v>
      </c>
    </row>
    <row r="50" spans="1:65">
      <c r="A50" s="105">
        <v>7</v>
      </c>
      <c r="B50" s="125">
        <v>1</v>
      </c>
      <c r="C50" s="105" t="s">
        <v>429</v>
      </c>
      <c r="D50" s="105" t="s">
        <v>746</v>
      </c>
      <c r="E50" s="105" t="s">
        <v>729</v>
      </c>
      <c r="F50" s="105">
        <v>24</v>
      </c>
      <c r="G50" s="105">
        <v>13.5</v>
      </c>
      <c r="H50" s="105">
        <v>324</v>
      </c>
      <c r="I50" s="105" t="s">
        <v>106</v>
      </c>
      <c r="J50" s="105" t="s">
        <v>729</v>
      </c>
      <c r="K50" s="105">
        <v>800</v>
      </c>
      <c r="L50" s="105" t="s">
        <v>730</v>
      </c>
      <c r="M50" s="105">
        <f>OB_Act[[#This Row],[Volume (BCM)]]*OB_Act[[#This Row],[Distance (Meter)]]</f>
        <v>259200</v>
      </c>
      <c r="N50" s="105" t="str">
        <f>LEFT(OB_Act[[#This Row],[Dump Truck]],3)</f>
        <v>SNS</v>
      </c>
      <c r="O50" s="126" t="str">
        <f>OB_Act[[#This Row],[Day]]&amp;OB_Act[[#This Row],[Excavator]]&amp;OB_Act[[#This Row],[Contractor]]&amp;OB_Act[[#This Row],[Pit]]&amp;OB_Act[[#This Row],[Shift]]</f>
        <v>7SNS-EX520-240SNSPIT M4EW1</v>
      </c>
      <c r="P50" s="126">
        <f>1/COUNTIF(OB_Act[Dummy_Exc],OB_Act[[#This Row],[Dummy_Exc]])</f>
        <v>0.25</v>
      </c>
      <c r="Q50" s="105" t="str">
        <f>OB_Act[[#This Row],[Day]]&amp;OB_Act[[#This Row],[Dump Truck]]&amp;OB_Act[[#This Row],[Pit]]&amp;OB_Act[[#This Row],[Shift]]</f>
        <v>7SNS-SN582PIT M4EW1</v>
      </c>
      <c r="R50" s="126">
        <f>1/COUNTIF(OB_Act[Dummy_DT],OB_Act[[#This Row],[Dummy_DT]])</f>
        <v>1</v>
      </c>
      <c r="S50" s="126">
        <f>OB_Act[[#This Row],[Distance (Meter)]]*OB_Act[[#This Row],[Volume (BCM)]]</f>
        <v>259200</v>
      </c>
      <c r="T50" s="105" t="str">
        <f>OB_Act[[#This Row],[Day]]&amp;OB_Act[[#This Row],[Dump Truck]]&amp;OB_Act[[#This Row],[Contractor]]&amp;OB_Act[[#This Row],[Excavator]]&amp;OB_Act[[#This Row],[Shift]]</f>
        <v>7SNS-SN582SNSSNS-EX520-2401</v>
      </c>
      <c r="U50" s="126">
        <f>1/COUNTIF(OB_Act[Dummy_DT/Exc],OB_Act[[#This Row],[Dummy_DT/Exc]])</f>
        <v>1</v>
      </c>
      <c r="V50" s="126" t="str">
        <f>VLOOKUP(OB_Act[[#This Row],[Day]],$AO$2:$AR$32,4,0)</f>
        <v>Week I</v>
      </c>
      <c r="W50" s="126" t="str">
        <f>VLOOKUP(OB_Act[[#This Row],[Dump Area]],$AE$2:$AF$51,2,0)</f>
        <v>M4EW</v>
      </c>
      <c r="X50" s="126" t="str">
        <f>OB_Act[[#This Row],[Excavator]]&amp;OB_Act[[#This Row],[Contractor]]</f>
        <v>SNS-EX520-240SNS</v>
      </c>
      <c r="Y50" s="126" t="str">
        <f>IF(OB_Act[[#This Row],[Material]]="MUD",VLOOKUP(OB_Act[[#This Row],[Dump Truck]],Type_mud[[Nama DT]:[Type]],2,0),VLOOKUP(OB_Act[[#This Row],[Dump Truck]],Type_DT_OB[[Nama DT]:[Type]],4,0))</f>
        <v>SNS-HINO-30T</v>
      </c>
      <c r="Z50" s="126" t="str">
        <f>"JBG-OP1-CENTRAL-"&amp;VLOOKUP(OB_Act[[#This Row],[Pit]],$AK$2:$AL$9,2,0)&amp;"-WASTE-"&amp;OB_Act[[#This Row],[Material]]</f>
        <v>JBG-OP1-CENTRAL-M4EW-WASTE-OB-PAF</v>
      </c>
      <c r="AA50" s="126" t="str">
        <f>"JBG-DUMP1-"&amp;VLOOKUP(OB_Act[[#This Row],[Dump]],$AF$2:$AG$55,2,0)&amp;"-"&amp;OB_Act[[#This Row],[Material]]</f>
        <v>JBG-DUMP1-INPIT-M4EW-OB-PAF</v>
      </c>
      <c r="AB50" s="126" t="str">
        <f>"JBG-"&amp;OB_Act[[#This Row],[Material]]</f>
        <v>JBG-OB-PAF</v>
      </c>
      <c r="AE50" s="105" t="s">
        <v>641</v>
      </c>
      <c r="AF50" s="105" t="s">
        <v>160</v>
      </c>
      <c r="AG50" s="105" t="s">
        <v>598</v>
      </c>
      <c r="BD50" s="105" t="str">
        <f>RIGHT(Type_DT_OB[[#This Row],[Nama DT]],3)</f>
        <v>591</v>
      </c>
      <c r="BE50" s="105" t="s">
        <v>434</v>
      </c>
      <c r="BF50" s="105">
        <v>13</v>
      </c>
      <c r="BG50" s="105">
        <v>9</v>
      </c>
      <c r="BH50" s="105" t="s">
        <v>636</v>
      </c>
      <c r="BI50" s="105" t="s">
        <v>431</v>
      </c>
      <c r="BK50" s="105" t="str">
        <f>RIGHT(Type_mud[[#This Row],[Nama DT]],3)</f>
        <v>591</v>
      </c>
      <c r="BL50" s="105" t="s">
        <v>434</v>
      </c>
      <c r="BM50" s="105" t="s">
        <v>637</v>
      </c>
    </row>
    <row r="51" spans="1:65">
      <c r="A51" s="105">
        <v>7</v>
      </c>
      <c r="B51" s="125">
        <v>1</v>
      </c>
      <c r="C51" s="105" t="s">
        <v>448</v>
      </c>
      <c r="D51" s="105" t="s">
        <v>746</v>
      </c>
      <c r="E51" s="105" t="s">
        <v>729</v>
      </c>
      <c r="F51" s="105">
        <v>23</v>
      </c>
      <c r="G51" s="105">
        <v>13.5</v>
      </c>
      <c r="H51" s="105">
        <v>310.5</v>
      </c>
      <c r="I51" s="105" t="s">
        <v>106</v>
      </c>
      <c r="J51" s="105" t="s">
        <v>729</v>
      </c>
      <c r="K51" s="105">
        <v>800</v>
      </c>
      <c r="L51" s="105" t="s">
        <v>730</v>
      </c>
      <c r="M51" s="105">
        <f>OB_Act[[#This Row],[Volume (BCM)]]*OB_Act[[#This Row],[Distance (Meter)]]</f>
        <v>248400</v>
      </c>
      <c r="N51" s="105" t="str">
        <f>LEFT(OB_Act[[#This Row],[Dump Truck]],3)</f>
        <v>SNS</v>
      </c>
      <c r="O51" s="126" t="str">
        <f>OB_Act[[#This Row],[Day]]&amp;OB_Act[[#This Row],[Excavator]]&amp;OB_Act[[#This Row],[Contractor]]&amp;OB_Act[[#This Row],[Pit]]&amp;OB_Act[[#This Row],[Shift]]</f>
        <v>7SNS-EX520-240SNSPIT M4EW1</v>
      </c>
      <c r="P51" s="126">
        <f>1/COUNTIF(OB_Act[Dummy_Exc],OB_Act[[#This Row],[Dummy_Exc]])</f>
        <v>0.25</v>
      </c>
      <c r="Q51" s="105" t="str">
        <f>OB_Act[[#This Row],[Day]]&amp;OB_Act[[#This Row],[Dump Truck]]&amp;OB_Act[[#This Row],[Pit]]&amp;OB_Act[[#This Row],[Shift]]</f>
        <v>7SNS-SN603PIT M4EW1</v>
      </c>
      <c r="R51" s="126">
        <f>1/COUNTIF(OB_Act[Dummy_DT],OB_Act[[#This Row],[Dummy_DT]])</f>
        <v>1</v>
      </c>
      <c r="S51" s="126">
        <f>OB_Act[[#This Row],[Distance (Meter)]]*OB_Act[[#This Row],[Volume (BCM)]]</f>
        <v>248400</v>
      </c>
      <c r="T51" s="105" t="str">
        <f>OB_Act[[#This Row],[Day]]&amp;OB_Act[[#This Row],[Dump Truck]]&amp;OB_Act[[#This Row],[Contractor]]&amp;OB_Act[[#This Row],[Excavator]]&amp;OB_Act[[#This Row],[Shift]]</f>
        <v>7SNS-SN603SNSSNS-EX520-2401</v>
      </c>
      <c r="U51" s="126">
        <f>1/COUNTIF(OB_Act[Dummy_DT/Exc],OB_Act[[#This Row],[Dummy_DT/Exc]])</f>
        <v>1</v>
      </c>
      <c r="V51" s="126" t="str">
        <f>VLOOKUP(OB_Act[[#This Row],[Day]],$AO$2:$AR$32,4,0)</f>
        <v>Week I</v>
      </c>
      <c r="W51" s="126" t="str">
        <f>VLOOKUP(OB_Act[[#This Row],[Dump Area]],$AE$2:$AF$51,2,0)</f>
        <v>M4EW</v>
      </c>
      <c r="X51" s="126" t="str">
        <f>OB_Act[[#This Row],[Excavator]]&amp;OB_Act[[#This Row],[Contractor]]</f>
        <v>SNS-EX520-240SNS</v>
      </c>
      <c r="Y51" s="126" t="str">
        <f>IF(OB_Act[[#This Row],[Material]]="MUD",VLOOKUP(OB_Act[[#This Row],[Dump Truck]],Type_mud[[Nama DT]:[Type]],2,0),VLOOKUP(OB_Act[[#This Row],[Dump Truck]],Type_DT_OB[[Nama DT]:[Type]],4,0))</f>
        <v>SNS-VOLVO-35T</v>
      </c>
      <c r="Z51" s="126" t="str">
        <f>"JBG-OP1-CENTRAL-"&amp;VLOOKUP(OB_Act[[#This Row],[Pit]],$AK$2:$AL$9,2,0)&amp;"-WASTE-"&amp;OB_Act[[#This Row],[Material]]</f>
        <v>JBG-OP1-CENTRAL-M4EW-WASTE-OB-PAF</v>
      </c>
      <c r="AA51" s="126" t="str">
        <f>"JBG-DUMP1-"&amp;VLOOKUP(OB_Act[[#This Row],[Dump]],$AF$2:$AG$55,2,0)&amp;"-"&amp;OB_Act[[#This Row],[Material]]</f>
        <v>JBG-DUMP1-INPIT-M4EW-OB-PAF</v>
      </c>
      <c r="AB51" s="126" t="str">
        <f>"JBG-"&amp;OB_Act[[#This Row],[Material]]</f>
        <v>JBG-OB-PAF</v>
      </c>
      <c r="AE51" s="105" t="s">
        <v>642</v>
      </c>
      <c r="AF51" s="105" t="s">
        <v>160</v>
      </c>
      <c r="AG51" s="105" t="s">
        <v>598</v>
      </c>
      <c r="BD51" s="105" t="str">
        <f>RIGHT(Type_DT_OB[[#This Row],[Nama DT]],3)</f>
        <v>592</v>
      </c>
      <c r="BE51" s="105" t="s">
        <v>435</v>
      </c>
      <c r="BF51" s="105">
        <v>13</v>
      </c>
      <c r="BG51" s="105">
        <v>9</v>
      </c>
      <c r="BH51" s="105" t="s">
        <v>636</v>
      </c>
      <c r="BI51" s="105" t="s">
        <v>431</v>
      </c>
      <c r="BK51" s="105" t="str">
        <f>RIGHT(Type_mud[[#This Row],[Nama DT]],3)</f>
        <v>592</v>
      </c>
      <c r="BL51" s="105" t="s">
        <v>435</v>
      </c>
      <c r="BM51" s="105" t="s">
        <v>637</v>
      </c>
    </row>
    <row r="52" spans="1:65">
      <c r="A52" s="105">
        <v>7</v>
      </c>
      <c r="B52" s="125">
        <v>1</v>
      </c>
      <c r="C52" s="105" t="s">
        <v>449</v>
      </c>
      <c r="D52" s="105" t="s">
        <v>746</v>
      </c>
      <c r="E52" s="105" t="s">
        <v>729</v>
      </c>
      <c r="F52" s="105">
        <v>17</v>
      </c>
      <c r="G52" s="105">
        <v>13.5</v>
      </c>
      <c r="H52" s="105">
        <v>229.5</v>
      </c>
      <c r="I52" s="105" t="s">
        <v>106</v>
      </c>
      <c r="J52" s="105" t="s">
        <v>729</v>
      </c>
      <c r="K52" s="105">
        <v>800</v>
      </c>
      <c r="L52" s="105" t="s">
        <v>730</v>
      </c>
      <c r="M52" s="105">
        <f>OB_Act[[#This Row],[Volume (BCM)]]*OB_Act[[#This Row],[Distance (Meter)]]</f>
        <v>183600</v>
      </c>
      <c r="N52" s="105" t="str">
        <f>LEFT(OB_Act[[#This Row],[Dump Truck]],3)</f>
        <v>SNS</v>
      </c>
      <c r="O52" s="126" t="str">
        <f>OB_Act[[#This Row],[Day]]&amp;OB_Act[[#This Row],[Excavator]]&amp;OB_Act[[#This Row],[Contractor]]&amp;OB_Act[[#This Row],[Pit]]&amp;OB_Act[[#This Row],[Shift]]</f>
        <v>7SNS-EX520-240SNSPIT M4EW1</v>
      </c>
      <c r="P52" s="126">
        <f>1/COUNTIF(OB_Act[Dummy_Exc],OB_Act[[#This Row],[Dummy_Exc]])</f>
        <v>0.25</v>
      </c>
      <c r="Q52" s="105" t="str">
        <f>OB_Act[[#This Row],[Day]]&amp;OB_Act[[#This Row],[Dump Truck]]&amp;OB_Act[[#This Row],[Pit]]&amp;OB_Act[[#This Row],[Shift]]</f>
        <v>7SNS-SN604PIT M4EW1</v>
      </c>
      <c r="R52" s="126">
        <f>1/COUNTIF(OB_Act[Dummy_DT],OB_Act[[#This Row],[Dummy_DT]])</f>
        <v>1</v>
      </c>
      <c r="S52" s="126">
        <f>OB_Act[[#This Row],[Distance (Meter)]]*OB_Act[[#This Row],[Volume (BCM)]]</f>
        <v>183600</v>
      </c>
      <c r="T52" s="105" t="str">
        <f>OB_Act[[#This Row],[Day]]&amp;OB_Act[[#This Row],[Dump Truck]]&amp;OB_Act[[#This Row],[Contractor]]&amp;OB_Act[[#This Row],[Excavator]]&amp;OB_Act[[#This Row],[Shift]]</f>
        <v>7SNS-SN604SNSSNS-EX520-2401</v>
      </c>
      <c r="U52" s="126">
        <f>1/COUNTIF(OB_Act[Dummy_DT/Exc],OB_Act[[#This Row],[Dummy_DT/Exc]])</f>
        <v>1</v>
      </c>
      <c r="V52" s="126" t="str">
        <f>VLOOKUP(OB_Act[[#This Row],[Day]],$AO$2:$AR$32,4,0)</f>
        <v>Week I</v>
      </c>
      <c r="W52" s="126" t="str">
        <f>VLOOKUP(OB_Act[[#This Row],[Dump Area]],$AE$2:$AF$51,2,0)</f>
        <v>M4EW</v>
      </c>
      <c r="X52" s="126" t="str">
        <f>OB_Act[[#This Row],[Excavator]]&amp;OB_Act[[#This Row],[Contractor]]</f>
        <v>SNS-EX520-240SNS</v>
      </c>
      <c r="Y52" s="126" t="str">
        <f>IF(OB_Act[[#This Row],[Material]]="MUD",VLOOKUP(OB_Act[[#This Row],[Dump Truck]],Type_mud[[Nama DT]:[Type]],2,0),VLOOKUP(OB_Act[[#This Row],[Dump Truck]],Type_DT_OB[[Nama DT]:[Type]],4,0))</f>
        <v>SNS-VOLVO-35T</v>
      </c>
      <c r="Z52" s="126" t="str">
        <f>"JBG-OP1-CENTRAL-"&amp;VLOOKUP(OB_Act[[#This Row],[Pit]],$AK$2:$AL$9,2,0)&amp;"-WASTE-"&amp;OB_Act[[#This Row],[Material]]</f>
        <v>JBG-OP1-CENTRAL-M4EW-WASTE-OB-PAF</v>
      </c>
      <c r="AA52" s="126" t="str">
        <f>"JBG-DUMP1-"&amp;VLOOKUP(OB_Act[[#This Row],[Dump]],$AF$2:$AG$55,2,0)&amp;"-"&amp;OB_Act[[#This Row],[Material]]</f>
        <v>JBG-DUMP1-INPIT-M4EW-OB-PAF</v>
      </c>
      <c r="AB52" s="126" t="str">
        <f>"JBG-"&amp;OB_Act[[#This Row],[Material]]</f>
        <v>JBG-OB-PAF</v>
      </c>
      <c r="BD52" s="105" t="str">
        <f>RIGHT(Type_DT_OB[[#This Row],[Nama DT]],3)</f>
        <v>593</v>
      </c>
      <c r="BE52" s="105" t="s">
        <v>436</v>
      </c>
      <c r="BF52" s="105">
        <v>15.4</v>
      </c>
      <c r="BG52" s="105">
        <v>9</v>
      </c>
      <c r="BH52" s="105" t="s">
        <v>437</v>
      </c>
      <c r="BI52" s="105" t="s">
        <v>438</v>
      </c>
      <c r="BK52" s="105" t="str">
        <f>RIGHT(Type_mud[[#This Row],[Nama DT]],3)</f>
        <v>593</v>
      </c>
      <c r="BL52" s="105" t="s">
        <v>436</v>
      </c>
      <c r="BM52" s="105" t="s">
        <v>643</v>
      </c>
    </row>
    <row r="53" spans="1:65">
      <c r="A53" s="105">
        <v>7</v>
      </c>
      <c r="B53" s="125">
        <v>1</v>
      </c>
      <c r="C53" s="105" t="s">
        <v>395</v>
      </c>
      <c r="D53" s="105" t="s">
        <v>746</v>
      </c>
      <c r="E53" s="105" t="s">
        <v>729</v>
      </c>
      <c r="F53" s="105">
        <v>23</v>
      </c>
      <c r="G53" s="105">
        <v>13.5</v>
      </c>
      <c r="H53" s="105">
        <v>310.5</v>
      </c>
      <c r="I53" s="105" t="s">
        <v>106</v>
      </c>
      <c r="J53" s="105" t="s">
        <v>729</v>
      </c>
      <c r="K53" s="105">
        <v>800</v>
      </c>
      <c r="L53" s="105" t="s">
        <v>730</v>
      </c>
      <c r="M53" s="105">
        <f>OB_Act[[#This Row],[Volume (BCM)]]*OB_Act[[#This Row],[Distance (Meter)]]</f>
        <v>248400</v>
      </c>
      <c r="N53" s="105" t="str">
        <f>LEFT(OB_Act[[#This Row],[Dump Truck]],3)</f>
        <v>SNS</v>
      </c>
      <c r="O53" s="126" t="str">
        <f>OB_Act[[#This Row],[Day]]&amp;OB_Act[[#This Row],[Excavator]]&amp;OB_Act[[#This Row],[Contractor]]&amp;OB_Act[[#This Row],[Pit]]&amp;OB_Act[[#This Row],[Shift]]</f>
        <v>7SNS-EX520-240SNSPIT M4EW1</v>
      </c>
      <c r="P53" s="126">
        <f>1/COUNTIF(OB_Act[Dummy_Exc],OB_Act[[#This Row],[Dummy_Exc]])</f>
        <v>0.25</v>
      </c>
      <c r="Q53" s="105" t="str">
        <f>OB_Act[[#This Row],[Day]]&amp;OB_Act[[#This Row],[Dump Truck]]&amp;OB_Act[[#This Row],[Pit]]&amp;OB_Act[[#This Row],[Shift]]</f>
        <v>7SNS-SN524PIT M4EW1</v>
      </c>
      <c r="R53" s="126">
        <f>1/COUNTIF(OB_Act[Dummy_DT],OB_Act[[#This Row],[Dummy_DT]])</f>
        <v>1</v>
      </c>
      <c r="S53" s="126">
        <f>OB_Act[[#This Row],[Distance (Meter)]]*OB_Act[[#This Row],[Volume (BCM)]]</f>
        <v>248400</v>
      </c>
      <c r="T53" s="105" t="str">
        <f>OB_Act[[#This Row],[Day]]&amp;OB_Act[[#This Row],[Dump Truck]]&amp;OB_Act[[#This Row],[Contractor]]&amp;OB_Act[[#This Row],[Excavator]]&amp;OB_Act[[#This Row],[Shift]]</f>
        <v>7SNS-SN524SNSSNS-EX520-2401</v>
      </c>
      <c r="U53" s="126">
        <f>1/COUNTIF(OB_Act[Dummy_DT/Exc],OB_Act[[#This Row],[Dummy_DT/Exc]])</f>
        <v>1</v>
      </c>
      <c r="V53" s="126" t="str">
        <f>VLOOKUP(OB_Act[[#This Row],[Day]],$AO$2:$AR$32,4,0)</f>
        <v>Week I</v>
      </c>
      <c r="W53" s="126" t="str">
        <f>VLOOKUP(OB_Act[[#This Row],[Dump Area]],$AE$2:$AF$51,2,0)</f>
        <v>M4EW</v>
      </c>
      <c r="X53" s="126" t="str">
        <f>OB_Act[[#This Row],[Excavator]]&amp;OB_Act[[#This Row],[Contractor]]</f>
        <v>SNS-EX520-240SNS</v>
      </c>
      <c r="Y53" s="126" t="str">
        <f>IF(OB_Act[[#This Row],[Material]]="MUD",VLOOKUP(OB_Act[[#This Row],[Dump Truck]],Type_mud[[Nama DT]:[Type]],2,0),VLOOKUP(OB_Act[[#This Row],[Dump Truck]],Type_DT_OB[[Nama DT]:[Type]],4,0))</f>
        <v>SNS-HINO-30T</v>
      </c>
      <c r="Z53" s="126" t="str">
        <f>"JBG-OP1-CENTRAL-"&amp;VLOOKUP(OB_Act[[#This Row],[Pit]],$AK$2:$AL$9,2,0)&amp;"-WASTE-"&amp;OB_Act[[#This Row],[Material]]</f>
        <v>JBG-OP1-CENTRAL-M4EW-WASTE-OB-PAF</v>
      </c>
      <c r="AA53" s="126" t="str">
        <f>"JBG-DUMP1-"&amp;VLOOKUP(OB_Act[[#This Row],[Dump]],$AF$2:$AG$55,2,0)&amp;"-"&amp;OB_Act[[#This Row],[Material]]</f>
        <v>JBG-DUMP1-INPIT-M4EW-OB-PAF</v>
      </c>
      <c r="AB53" s="126" t="str">
        <f>"JBG-"&amp;OB_Act[[#This Row],[Material]]</f>
        <v>JBG-OB-PAF</v>
      </c>
      <c r="BD53" s="105" t="str">
        <f>RIGHT(Type_DT_OB[[#This Row],[Nama DT]],3)</f>
        <v>594</v>
      </c>
      <c r="BE53" s="105" t="s">
        <v>439</v>
      </c>
      <c r="BF53" s="105">
        <v>15.4</v>
      </c>
      <c r="BG53" s="105">
        <v>9</v>
      </c>
      <c r="BH53" s="105" t="s">
        <v>437</v>
      </c>
      <c r="BI53" s="105" t="s">
        <v>438</v>
      </c>
      <c r="BK53" s="105" t="str">
        <f>RIGHT(Type_mud[[#This Row],[Nama DT]],3)</f>
        <v>594</v>
      </c>
      <c r="BL53" s="105" t="s">
        <v>439</v>
      </c>
      <c r="BM53" s="105" t="s">
        <v>643</v>
      </c>
    </row>
    <row r="54" spans="1:65">
      <c r="M54" s="105">
        <f>OB_Act[[#This Row],[Volume (BCM)]]*OB_Act[[#This Row],[Distance (Meter)]]</f>
        <v>0</v>
      </c>
      <c r="N54" s="105" t="str">
        <f>LEFT(OB_Act[[#This Row],[Dump Truck]],3)</f>
        <v/>
      </c>
      <c r="O54" s="126" t="str">
        <f>OB_Act[[#This Row],[Day]]&amp;OB_Act[[#This Row],[Excavator]]&amp;OB_Act[[#This Row],[Contractor]]&amp;OB_Act[[#This Row],[Pit]]&amp;OB_Act[[#This Row],[Shift]]</f>
        <v/>
      </c>
      <c r="P54" s="126">
        <f>1/COUNTIF(OB_Act[Dummy_Exc],OB_Act[[#This Row],[Dummy_Exc]])</f>
        <v>4.1841004184100415E-3</v>
      </c>
      <c r="Q54" s="105" t="str">
        <f>OB_Act[[#This Row],[Day]]&amp;OB_Act[[#This Row],[Dump Truck]]&amp;OB_Act[[#This Row],[Pit]]&amp;OB_Act[[#This Row],[Shift]]</f>
        <v/>
      </c>
      <c r="R54" s="126">
        <f>1/COUNTIF(OB_Act[Dummy_DT],OB_Act[[#This Row],[Dummy_DT]])</f>
        <v>4.1841004184100415E-3</v>
      </c>
      <c r="S54" s="126">
        <f>OB_Act[[#This Row],[Distance (Meter)]]*OB_Act[[#This Row],[Volume (BCM)]]</f>
        <v>0</v>
      </c>
      <c r="T54" s="105" t="str">
        <f>OB_Act[[#This Row],[Day]]&amp;OB_Act[[#This Row],[Dump Truck]]&amp;OB_Act[[#This Row],[Contractor]]&amp;OB_Act[[#This Row],[Excavator]]&amp;OB_Act[[#This Row],[Shift]]</f>
        <v/>
      </c>
      <c r="U54" s="126">
        <f>1/COUNTIF(OB_Act[Dummy_DT/Exc],OB_Act[[#This Row],[Dummy_DT/Exc]])</f>
        <v>4.1841004184100415E-3</v>
      </c>
      <c r="V54" s="126" t="e">
        <f>VLOOKUP(OB_Act[[#This Row],[Day]],$AO$2:$AR$32,4,0)</f>
        <v>#N/A</v>
      </c>
      <c r="W54" s="126" t="e">
        <f>VLOOKUP(OB_Act[[#This Row],[Dump Area]],$AE$2:$AF$51,2,0)</f>
        <v>#N/A</v>
      </c>
      <c r="X54" s="126" t="str">
        <f>OB_Act[[#This Row],[Excavator]]&amp;OB_Act[[#This Row],[Contractor]]</f>
        <v/>
      </c>
      <c r="Y54" s="126" t="e">
        <f>IF(OB_Act[[#This Row],[Material]]="MUD",VLOOKUP(OB_Act[[#This Row],[Dump Truck]],Type_mud[[Nama DT]:[Type]],2,0),VLOOKUP(OB_Act[[#This Row],[Dump Truck]],Type_DT_OB[[Nama DT]:[Type]],4,0))</f>
        <v>#N/A</v>
      </c>
      <c r="Z54" s="126" t="e">
        <f>"JBG-OP1-CENTRAL-"&amp;VLOOKUP(OB_Act[[#This Row],[Pit]],$AK$2:$AL$9,2,0)&amp;"-WASTE-"&amp;OB_Act[[#This Row],[Material]]</f>
        <v>#N/A</v>
      </c>
      <c r="AA54" s="126" t="e">
        <f>"JBG-DUMP1-"&amp;VLOOKUP(OB_Act[[#This Row],[Dump]],$AF$2:$AG$55,2,0)&amp;"-"&amp;OB_Act[[#This Row],[Material]]</f>
        <v>#N/A</v>
      </c>
      <c r="AB54" s="126" t="str">
        <f>"JBG-"&amp;OB_Act[[#This Row],[Material]]</f>
        <v>JBG-</v>
      </c>
      <c r="BD54" s="105" t="str">
        <f>RIGHT(Type_DT_OB[[#This Row],[Nama DT]],3)</f>
        <v>595</v>
      </c>
      <c r="BE54" s="105" t="s">
        <v>440</v>
      </c>
      <c r="BF54" s="105">
        <v>15.4</v>
      </c>
      <c r="BG54" s="105">
        <v>9</v>
      </c>
      <c r="BH54" s="105" t="s">
        <v>437</v>
      </c>
      <c r="BI54" s="105" t="s">
        <v>438</v>
      </c>
      <c r="BK54" s="105" t="str">
        <f>RIGHT(Type_mud[[#This Row],[Nama DT]],3)</f>
        <v>595</v>
      </c>
      <c r="BL54" s="105" t="s">
        <v>440</v>
      </c>
      <c r="BM54" s="105" t="s">
        <v>643</v>
      </c>
    </row>
    <row r="55" spans="1:65">
      <c r="M55" s="105">
        <f>OB_Act[[#This Row],[Volume (BCM)]]*OB_Act[[#This Row],[Distance (Meter)]]</f>
        <v>0</v>
      </c>
      <c r="N55" s="105" t="str">
        <f>LEFT(OB_Act[[#This Row],[Dump Truck]],3)</f>
        <v/>
      </c>
      <c r="O55" s="126" t="str">
        <f>OB_Act[[#This Row],[Day]]&amp;OB_Act[[#This Row],[Excavator]]&amp;OB_Act[[#This Row],[Contractor]]&amp;OB_Act[[#This Row],[Pit]]&amp;OB_Act[[#This Row],[Shift]]</f>
        <v/>
      </c>
      <c r="P55" s="126">
        <f>1/COUNTIF(OB_Act[Dummy_Exc],OB_Act[[#This Row],[Dummy_Exc]])</f>
        <v>4.1841004184100415E-3</v>
      </c>
      <c r="Q55" s="105" t="str">
        <f>OB_Act[[#This Row],[Day]]&amp;OB_Act[[#This Row],[Dump Truck]]&amp;OB_Act[[#This Row],[Pit]]&amp;OB_Act[[#This Row],[Shift]]</f>
        <v/>
      </c>
      <c r="R55" s="126">
        <f>1/COUNTIF(OB_Act[Dummy_DT],OB_Act[[#This Row],[Dummy_DT]])</f>
        <v>4.1841004184100415E-3</v>
      </c>
      <c r="S55" s="126">
        <f>OB_Act[[#This Row],[Distance (Meter)]]*OB_Act[[#This Row],[Volume (BCM)]]</f>
        <v>0</v>
      </c>
      <c r="T55" s="105" t="str">
        <f>OB_Act[[#This Row],[Day]]&amp;OB_Act[[#This Row],[Dump Truck]]&amp;OB_Act[[#This Row],[Contractor]]&amp;OB_Act[[#This Row],[Excavator]]&amp;OB_Act[[#This Row],[Shift]]</f>
        <v/>
      </c>
      <c r="U55" s="126">
        <f>1/COUNTIF(OB_Act[Dummy_DT/Exc],OB_Act[[#This Row],[Dummy_DT/Exc]])</f>
        <v>4.1841004184100415E-3</v>
      </c>
      <c r="V55" s="126" t="e">
        <f>VLOOKUP(OB_Act[[#This Row],[Day]],$AO$2:$AR$32,4,0)</f>
        <v>#N/A</v>
      </c>
      <c r="W55" s="126" t="e">
        <f>VLOOKUP(OB_Act[[#This Row],[Dump Area]],$AE$2:$AF$51,2,0)</f>
        <v>#N/A</v>
      </c>
      <c r="X55" s="126" t="str">
        <f>OB_Act[[#This Row],[Excavator]]&amp;OB_Act[[#This Row],[Contractor]]</f>
        <v/>
      </c>
      <c r="Y55" s="126" t="e">
        <f>IF(OB_Act[[#This Row],[Material]]="MUD",VLOOKUP(OB_Act[[#This Row],[Dump Truck]],Type_mud[[Nama DT]:[Type]],2,0),VLOOKUP(OB_Act[[#This Row],[Dump Truck]],Type_DT_OB[[Nama DT]:[Type]],4,0))</f>
        <v>#N/A</v>
      </c>
      <c r="Z55" s="126" t="e">
        <f>"JBG-OP1-CENTRAL-"&amp;VLOOKUP(OB_Act[[#This Row],[Pit]],$AK$2:$AL$9,2,0)&amp;"-WASTE-"&amp;OB_Act[[#This Row],[Material]]</f>
        <v>#N/A</v>
      </c>
      <c r="AA55" s="126" t="e">
        <f>"JBG-DUMP1-"&amp;VLOOKUP(OB_Act[[#This Row],[Dump]],$AF$2:$AG$55,2,0)&amp;"-"&amp;OB_Act[[#This Row],[Material]]</f>
        <v>#N/A</v>
      </c>
      <c r="AB55" s="126" t="str">
        <f>"JBG-"&amp;OB_Act[[#This Row],[Material]]</f>
        <v>JBG-</v>
      </c>
      <c r="BD55" s="105" t="str">
        <f>RIGHT(Type_DT_OB[[#This Row],[Nama DT]],3)</f>
        <v>596</v>
      </c>
      <c r="BE55" s="105" t="s">
        <v>441</v>
      </c>
      <c r="BF55" s="105">
        <v>15.4</v>
      </c>
      <c r="BG55" s="105">
        <v>9</v>
      </c>
      <c r="BH55" s="105" t="s">
        <v>437</v>
      </c>
      <c r="BI55" s="105" t="s">
        <v>438</v>
      </c>
      <c r="BK55" s="105" t="str">
        <f>RIGHT(Type_mud[[#This Row],[Nama DT]],3)</f>
        <v>596</v>
      </c>
      <c r="BL55" s="105" t="s">
        <v>441</v>
      </c>
      <c r="BM55" s="105" t="s">
        <v>643</v>
      </c>
    </row>
    <row r="56" spans="1:65">
      <c r="M56" s="105">
        <f>OB_Act[[#This Row],[Volume (BCM)]]*OB_Act[[#This Row],[Distance (Meter)]]</f>
        <v>0</v>
      </c>
      <c r="N56" s="105" t="str">
        <f>LEFT(OB_Act[[#This Row],[Dump Truck]],3)</f>
        <v/>
      </c>
      <c r="O56" s="126" t="str">
        <f>OB_Act[[#This Row],[Day]]&amp;OB_Act[[#This Row],[Excavator]]&amp;OB_Act[[#This Row],[Contractor]]&amp;OB_Act[[#This Row],[Pit]]&amp;OB_Act[[#This Row],[Shift]]</f>
        <v/>
      </c>
      <c r="P56" s="126">
        <f>1/COUNTIF(OB_Act[Dummy_Exc],OB_Act[[#This Row],[Dummy_Exc]])</f>
        <v>4.1841004184100415E-3</v>
      </c>
      <c r="Q56" s="105" t="str">
        <f>OB_Act[[#This Row],[Day]]&amp;OB_Act[[#This Row],[Dump Truck]]&amp;OB_Act[[#This Row],[Pit]]&amp;OB_Act[[#This Row],[Shift]]</f>
        <v/>
      </c>
      <c r="R56" s="126">
        <f>1/COUNTIF(OB_Act[Dummy_DT],OB_Act[[#This Row],[Dummy_DT]])</f>
        <v>4.1841004184100415E-3</v>
      </c>
      <c r="S56" s="126">
        <f>OB_Act[[#This Row],[Distance (Meter)]]*OB_Act[[#This Row],[Volume (BCM)]]</f>
        <v>0</v>
      </c>
      <c r="T56" s="105" t="str">
        <f>OB_Act[[#This Row],[Day]]&amp;OB_Act[[#This Row],[Dump Truck]]&amp;OB_Act[[#This Row],[Contractor]]&amp;OB_Act[[#This Row],[Excavator]]&amp;OB_Act[[#This Row],[Shift]]</f>
        <v/>
      </c>
      <c r="U56" s="126">
        <f>1/COUNTIF(OB_Act[Dummy_DT/Exc],OB_Act[[#This Row],[Dummy_DT/Exc]])</f>
        <v>4.1841004184100415E-3</v>
      </c>
      <c r="V56" s="126" t="e">
        <f>VLOOKUP(OB_Act[[#This Row],[Day]],$AO$2:$AR$32,4,0)</f>
        <v>#N/A</v>
      </c>
      <c r="W56" s="126" t="e">
        <f>VLOOKUP(OB_Act[[#This Row],[Dump Area]],$AE$2:$AF$51,2,0)</f>
        <v>#N/A</v>
      </c>
      <c r="X56" s="126" t="str">
        <f>OB_Act[[#This Row],[Excavator]]&amp;OB_Act[[#This Row],[Contractor]]</f>
        <v/>
      </c>
      <c r="Y56" s="126" t="e">
        <f>IF(OB_Act[[#This Row],[Material]]="MUD",VLOOKUP(OB_Act[[#This Row],[Dump Truck]],Type_mud[[Nama DT]:[Type]],2,0),VLOOKUP(OB_Act[[#This Row],[Dump Truck]],Type_DT_OB[[Nama DT]:[Type]],4,0))</f>
        <v>#N/A</v>
      </c>
      <c r="Z56" s="126" t="e">
        <f>"JBG-OP1-CENTRAL-"&amp;VLOOKUP(OB_Act[[#This Row],[Pit]],$AK$2:$AL$9,2,0)&amp;"-WASTE-"&amp;OB_Act[[#This Row],[Material]]</f>
        <v>#N/A</v>
      </c>
      <c r="AA56" s="126" t="e">
        <f>"JBG-DUMP1-"&amp;VLOOKUP(OB_Act[[#This Row],[Dump]],$AF$2:$AG$55,2,0)&amp;"-"&amp;OB_Act[[#This Row],[Material]]</f>
        <v>#N/A</v>
      </c>
      <c r="AB56" s="126" t="str">
        <f>"JBG-"&amp;OB_Act[[#This Row],[Material]]</f>
        <v>JBG-</v>
      </c>
      <c r="BD56" s="105" t="str">
        <f>RIGHT(Type_DT_OB[[#This Row],[Nama DT]],3)</f>
        <v>597</v>
      </c>
      <c r="BE56" s="105" t="s">
        <v>442</v>
      </c>
      <c r="BF56" s="105">
        <v>15.4</v>
      </c>
      <c r="BG56" s="105">
        <v>9</v>
      </c>
      <c r="BH56" s="105" t="s">
        <v>437</v>
      </c>
      <c r="BI56" s="105" t="s">
        <v>438</v>
      </c>
      <c r="BK56" s="105" t="str">
        <f>RIGHT(Type_mud[[#This Row],[Nama DT]],3)</f>
        <v>597</v>
      </c>
      <c r="BL56" s="105" t="s">
        <v>442</v>
      </c>
      <c r="BM56" s="105" t="s">
        <v>643</v>
      </c>
    </row>
    <row r="57" spans="1:65">
      <c r="M57" s="105">
        <f>OB_Act[[#This Row],[Volume (BCM)]]*OB_Act[[#This Row],[Distance (Meter)]]</f>
        <v>0</v>
      </c>
      <c r="N57" s="105" t="str">
        <f>LEFT(OB_Act[[#This Row],[Dump Truck]],3)</f>
        <v/>
      </c>
      <c r="O57" s="126" t="str">
        <f>OB_Act[[#This Row],[Day]]&amp;OB_Act[[#This Row],[Excavator]]&amp;OB_Act[[#This Row],[Contractor]]&amp;OB_Act[[#This Row],[Pit]]&amp;OB_Act[[#This Row],[Shift]]</f>
        <v/>
      </c>
      <c r="P57" s="126">
        <f>1/COUNTIF(OB_Act[Dummy_Exc],OB_Act[[#This Row],[Dummy_Exc]])</f>
        <v>4.1841004184100415E-3</v>
      </c>
      <c r="Q57" s="105" t="str">
        <f>OB_Act[[#This Row],[Day]]&amp;OB_Act[[#This Row],[Dump Truck]]&amp;OB_Act[[#This Row],[Pit]]&amp;OB_Act[[#This Row],[Shift]]</f>
        <v/>
      </c>
      <c r="R57" s="126">
        <f>1/COUNTIF(OB_Act[Dummy_DT],OB_Act[[#This Row],[Dummy_DT]])</f>
        <v>4.1841004184100415E-3</v>
      </c>
      <c r="S57" s="126">
        <f>OB_Act[[#This Row],[Distance (Meter)]]*OB_Act[[#This Row],[Volume (BCM)]]</f>
        <v>0</v>
      </c>
      <c r="T57" s="105" t="str">
        <f>OB_Act[[#This Row],[Day]]&amp;OB_Act[[#This Row],[Dump Truck]]&amp;OB_Act[[#This Row],[Contractor]]&amp;OB_Act[[#This Row],[Excavator]]&amp;OB_Act[[#This Row],[Shift]]</f>
        <v/>
      </c>
      <c r="U57" s="126">
        <f>1/COUNTIF(OB_Act[Dummy_DT/Exc],OB_Act[[#This Row],[Dummy_DT/Exc]])</f>
        <v>4.1841004184100415E-3</v>
      </c>
      <c r="V57" s="126" t="e">
        <f>VLOOKUP(OB_Act[[#This Row],[Day]],$AO$2:$AR$32,4,0)</f>
        <v>#N/A</v>
      </c>
      <c r="W57" s="126" t="e">
        <f>VLOOKUP(OB_Act[[#This Row],[Dump Area]],$AE$2:$AF$51,2,0)</f>
        <v>#N/A</v>
      </c>
      <c r="X57" s="126" t="str">
        <f>OB_Act[[#This Row],[Excavator]]&amp;OB_Act[[#This Row],[Contractor]]</f>
        <v/>
      </c>
      <c r="Y57" s="126" t="e">
        <f>IF(OB_Act[[#This Row],[Material]]="MUD",VLOOKUP(OB_Act[[#This Row],[Dump Truck]],Type_mud[[Nama DT]:[Type]],2,0),VLOOKUP(OB_Act[[#This Row],[Dump Truck]],Type_DT_OB[[Nama DT]:[Type]],4,0))</f>
        <v>#N/A</v>
      </c>
      <c r="Z57" s="126" t="e">
        <f>"JBG-OP1-CENTRAL-"&amp;VLOOKUP(OB_Act[[#This Row],[Pit]],$AK$2:$AL$9,2,0)&amp;"-WASTE-"&amp;OB_Act[[#This Row],[Material]]</f>
        <v>#N/A</v>
      </c>
      <c r="AA57" s="126" t="e">
        <f>"JBG-DUMP1-"&amp;VLOOKUP(OB_Act[[#This Row],[Dump]],$AF$2:$AG$55,2,0)&amp;"-"&amp;OB_Act[[#This Row],[Material]]</f>
        <v>#N/A</v>
      </c>
      <c r="AB57" s="126" t="str">
        <f>"JBG-"&amp;OB_Act[[#This Row],[Material]]</f>
        <v>JBG-</v>
      </c>
      <c r="BD57" s="105" t="str">
        <f>RIGHT(Type_DT_OB[[#This Row],[Nama DT]],3)</f>
        <v>598</v>
      </c>
      <c r="BE57" s="105" t="s">
        <v>443</v>
      </c>
      <c r="BF57" s="105">
        <v>15.4</v>
      </c>
      <c r="BG57" s="105">
        <v>9</v>
      </c>
      <c r="BH57" s="105" t="s">
        <v>437</v>
      </c>
      <c r="BI57" s="105" t="s">
        <v>438</v>
      </c>
      <c r="BK57" s="105" t="str">
        <f>RIGHT(Type_mud[[#This Row],[Nama DT]],3)</f>
        <v>598</v>
      </c>
      <c r="BL57" s="105" t="s">
        <v>443</v>
      </c>
      <c r="BM57" s="105" t="s">
        <v>643</v>
      </c>
    </row>
    <row r="58" spans="1:65">
      <c r="M58" s="105">
        <f>OB_Act[[#This Row],[Volume (BCM)]]*OB_Act[[#This Row],[Distance (Meter)]]</f>
        <v>0</v>
      </c>
      <c r="N58" s="105" t="str">
        <f>LEFT(OB_Act[[#This Row],[Dump Truck]],3)</f>
        <v/>
      </c>
      <c r="O58" s="126" t="str">
        <f>OB_Act[[#This Row],[Day]]&amp;OB_Act[[#This Row],[Excavator]]&amp;OB_Act[[#This Row],[Contractor]]&amp;OB_Act[[#This Row],[Pit]]&amp;OB_Act[[#This Row],[Shift]]</f>
        <v/>
      </c>
      <c r="P58" s="126">
        <f>1/COUNTIF(OB_Act[Dummy_Exc],OB_Act[[#This Row],[Dummy_Exc]])</f>
        <v>4.1841004184100415E-3</v>
      </c>
      <c r="Q58" s="105" t="str">
        <f>OB_Act[[#This Row],[Day]]&amp;OB_Act[[#This Row],[Dump Truck]]&amp;OB_Act[[#This Row],[Pit]]&amp;OB_Act[[#This Row],[Shift]]</f>
        <v/>
      </c>
      <c r="R58" s="126">
        <f>1/COUNTIF(OB_Act[Dummy_DT],OB_Act[[#This Row],[Dummy_DT]])</f>
        <v>4.1841004184100415E-3</v>
      </c>
      <c r="S58" s="126">
        <f>OB_Act[[#This Row],[Distance (Meter)]]*OB_Act[[#This Row],[Volume (BCM)]]</f>
        <v>0</v>
      </c>
      <c r="T58" s="105" t="str">
        <f>OB_Act[[#This Row],[Day]]&amp;OB_Act[[#This Row],[Dump Truck]]&amp;OB_Act[[#This Row],[Contractor]]&amp;OB_Act[[#This Row],[Excavator]]&amp;OB_Act[[#This Row],[Shift]]</f>
        <v/>
      </c>
      <c r="U58" s="126">
        <f>1/COUNTIF(OB_Act[Dummy_DT/Exc],OB_Act[[#This Row],[Dummy_DT/Exc]])</f>
        <v>4.1841004184100415E-3</v>
      </c>
      <c r="V58" s="126" t="e">
        <f>VLOOKUP(OB_Act[[#This Row],[Day]],$AO$2:$AR$32,4,0)</f>
        <v>#N/A</v>
      </c>
      <c r="W58" s="126" t="e">
        <f>VLOOKUP(OB_Act[[#This Row],[Dump Area]],$AE$2:$AF$51,2,0)</f>
        <v>#N/A</v>
      </c>
      <c r="X58" s="126" t="str">
        <f>OB_Act[[#This Row],[Excavator]]&amp;OB_Act[[#This Row],[Contractor]]</f>
        <v/>
      </c>
      <c r="Y58" s="126" t="e">
        <f>IF(OB_Act[[#This Row],[Material]]="MUD",VLOOKUP(OB_Act[[#This Row],[Dump Truck]],Type_mud[[Nama DT]:[Type]],2,0),VLOOKUP(OB_Act[[#This Row],[Dump Truck]],Type_DT_OB[[Nama DT]:[Type]],4,0))</f>
        <v>#N/A</v>
      </c>
      <c r="Z58" s="126" t="e">
        <f>"JBG-OP1-CENTRAL-"&amp;VLOOKUP(OB_Act[[#This Row],[Pit]],$AK$2:$AL$9,2,0)&amp;"-WASTE-"&amp;OB_Act[[#This Row],[Material]]</f>
        <v>#N/A</v>
      </c>
      <c r="AA58" s="126" t="e">
        <f>"JBG-DUMP1-"&amp;VLOOKUP(OB_Act[[#This Row],[Dump]],$AF$2:$AG$55,2,0)&amp;"-"&amp;OB_Act[[#This Row],[Material]]</f>
        <v>#N/A</v>
      </c>
      <c r="AB58" s="126" t="str">
        <f>"JBG-"&amp;OB_Act[[#This Row],[Material]]</f>
        <v>JBG-</v>
      </c>
      <c r="BD58" s="105" t="str">
        <f>RIGHT(Type_DT_OB[[#This Row],[Nama DT]],3)</f>
        <v>599</v>
      </c>
      <c r="BE58" s="105" t="s">
        <v>444</v>
      </c>
      <c r="BF58" s="105">
        <v>15.4</v>
      </c>
      <c r="BG58" s="105">
        <v>9</v>
      </c>
      <c r="BH58" s="105" t="s">
        <v>437</v>
      </c>
      <c r="BI58" s="105" t="s">
        <v>438</v>
      </c>
      <c r="BK58" s="105" t="str">
        <f>RIGHT(Type_mud[[#This Row],[Nama DT]],3)</f>
        <v>599</v>
      </c>
      <c r="BL58" s="105" t="s">
        <v>444</v>
      </c>
      <c r="BM58" s="105" t="s">
        <v>643</v>
      </c>
    </row>
    <row r="59" spans="1:65">
      <c r="M59" s="105">
        <f>OB_Act[[#This Row],[Volume (BCM)]]*OB_Act[[#This Row],[Distance (Meter)]]</f>
        <v>0</v>
      </c>
      <c r="N59" s="105" t="str">
        <f>LEFT(OB_Act[[#This Row],[Dump Truck]],3)</f>
        <v/>
      </c>
      <c r="O59" s="126" t="str">
        <f>OB_Act[[#This Row],[Day]]&amp;OB_Act[[#This Row],[Excavator]]&amp;OB_Act[[#This Row],[Contractor]]&amp;OB_Act[[#This Row],[Pit]]&amp;OB_Act[[#This Row],[Shift]]</f>
        <v/>
      </c>
      <c r="P59" s="126">
        <f>1/COUNTIF(OB_Act[Dummy_Exc],OB_Act[[#This Row],[Dummy_Exc]])</f>
        <v>4.1841004184100415E-3</v>
      </c>
      <c r="Q59" s="105" t="str">
        <f>OB_Act[[#This Row],[Day]]&amp;OB_Act[[#This Row],[Dump Truck]]&amp;OB_Act[[#This Row],[Pit]]&amp;OB_Act[[#This Row],[Shift]]</f>
        <v/>
      </c>
      <c r="R59" s="126">
        <f>1/COUNTIF(OB_Act[Dummy_DT],OB_Act[[#This Row],[Dummy_DT]])</f>
        <v>4.1841004184100415E-3</v>
      </c>
      <c r="S59" s="126">
        <f>OB_Act[[#This Row],[Distance (Meter)]]*OB_Act[[#This Row],[Volume (BCM)]]</f>
        <v>0</v>
      </c>
      <c r="T59" s="105" t="str">
        <f>OB_Act[[#This Row],[Day]]&amp;OB_Act[[#This Row],[Dump Truck]]&amp;OB_Act[[#This Row],[Contractor]]&amp;OB_Act[[#This Row],[Excavator]]&amp;OB_Act[[#This Row],[Shift]]</f>
        <v/>
      </c>
      <c r="U59" s="126">
        <f>1/COUNTIF(OB_Act[Dummy_DT/Exc],OB_Act[[#This Row],[Dummy_DT/Exc]])</f>
        <v>4.1841004184100415E-3</v>
      </c>
      <c r="V59" s="126" t="e">
        <f>VLOOKUP(OB_Act[[#This Row],[Day]],$AO$2:$AR$32,4,0)</f>
        <v>#N/A</v>
      </c>
      <c r="W59" s="126" t="e">
        <f>VLOOKUP(OB_Act[[#This Row],[Dump Area]],$AE$2:$AF$51,2,0)</f>
        <v>#N/A</v>
      </c>
      <c r="X59" s="126" t="str">
        <f>OB_Act[[#This Row],[Excavator]]&amp;OB_Act[[#This Row],[Contractor]]</f>
        <v/>
      </c>
      <c r="Y59" s="126" t="e">
        <f>IF(OB_Act[[#This Row],[Material]]="MUD",VLOOKUP(OB_Act[[#This Row],[Dump Truck]],Type_mud[[Nama DT]:[Type]],2,0),VLOOKUP(OB_Act[[#This Row],[Dump Truck]],Type_DT_OB[[Nama DT]:[Type]],4,0))</f>
        <v>#N/A</v>
      </c>
      <c r="Z59" s="126" t="e">
        <f>"JBG-OP1-CENTRAL-"&amp;VLOOKUP(OB_Act[[#This Row],[Pit]],$AK$2:$AL$9,2,0)&amp;"-WASTE-"&amp;OB_Act[[#This Row],[Material]]</f>
        <v>#N/A</v>
      </c>
      <c r="AA59" s="126" t="e">
        <f>"JBG-DUMP1-"&amp;VLOOKUP(OB_Act[[#This Row],[Dump]],$AF$2:$AG$55,2,0)&amp;"-"&amp;OB_Act[[#This Row],[Material]]</f>
        <v>#N/A</v>
      </c>
      <c r="AB59" s="126" t="str">
        <f>"JBG-"&amp;OB_Act[[#This Row],[Material]]</f>
        <v>JBG-</v>
      </c>
      <c r="BD59" s="105" t="str">
        <f>RIGHT(Type_DT_OB[[#This Row],[Nama DT]],3)</f>
        <v>600</v>
      </c>
      <c r="BE59" s="105" t="s">
        <v>445</v>
      </c>
      <c r="BF59" s="105">
        <v>15.4</v>
      </c>
      <c r="BG59" s="105">
        <v>9</v>
      </c>
      <c r="BH59" s="105" t="s">
        <v>437</v>
      </c>
      <c r="BI59" s="105" t="s">
        <v>438</v>
      </c>
      <c r="BK59" s="105" t="str">
        <f>RIGHT(Type_mud[[#This Row],[Nama DT]],3)</f>
        <v>600</v>
      </c>
      <c r="BL59" s="105" t="s">
        <v>445</v>
      </c>
      <c r="BM59" s="105" t="s">
        <v>643</v>
      </c>
    </row>
    <row r="60" spans="1:65">
      <c r="M60" s="105">
        <f>OB_Act[[#This Row],[Volume (BCM)]]*OB_Act[[#This Row],[Distance (Meter)]]</f>
        <v>0</v>
      </c>
      <c r="N60" s="105" t="str">
        <f>LEFT(OB_Act[[#This Row],[Dump Truck]],3)</f>
        <v/>
      </c>
      <c r="O60" s="126" t="str">
        <f>OB_Act[[#This Row],[Day]]&amp;OB_Act[[#This Row],[Excavator]]&amp;OB_Act[[#This Row],[Contractor]]&amp;OB_Act[[#This Row],[Pit]]&amp;OB_Act[[#This Row],[Shift]]</f>
        <v/>
      </c>
      <c r="P60" s="126">
        <f>1/COUNTIF(OB_Act[Dummy_Exc],OB_Act[[#This Row],[Dummy_Exc]])</f>
        <v>4.1841004184100415E-3</v>
      </c>
      <c r="Q60" s="105" t="str">
        <f>OB_Act[[#This Row],[Day]]&amp;OB_Act[[#This Row],[Dump Truck]]&amp;OB_Act[[#This Row],[Pit]]&amp;OB_Act[[#This Row],[Shift]]</f>
        <v/>
      </c>
      <c r="R60" s="126">
        <f>1/COUNTIF(OB_Act[Dummy_DT],OB_Act[[#This Row],[Dummy_DT]])</f>
        <v>4.1841004184100415E-3</v>
      </c>
      <c r="S60" s="126">
        <f>OB_Act[[#This Row],[Distance (Meter)]]*OB_Act[[#This Row],[Volume (BCM)]]</f>
        <v>0</v>
      </c>
      <c r="T60" s="105" t="str">
        <f>OB_Act[[#This Row],[Day]]&amp;OB_Act[[#This Row],[Dump Truck]]&amp;OB_Act[[#This Row],[Contractor]]&amp;OB_Act[[#This Row],[Excavator]]&amp;OB_Act[[#This Row],[Shift]]</f>
        <v/>
      </c>
      <c r="U60" s="126">
        <f>1/COUNTIF(OB_Act[Dummy_DT/Exc],OB_Act[[#This Row],[Dummy_DT/Exc]])</f>
        <v>4.1841004184100415E-3</v>
      </c>
      <c r="V60" s="126" t="e">
        <f>VLOOKUP(OB_Act[[#This Row],[Day]],$AO$2:$AR$32,4,0)</f>
        <v>#N/A</v>
      </c>
      <c r="W60" s="126" t="e">
        <f>VLOOKUP(OB_Act[[#This Row],[Dump Area]],$AE$2:$AF$51,2,0)</f>
        <v>#N/A</v>
      </c>
      <c r="X60" s="126" t="str">
        <f>OB_Act[[#This Row],[Excavator]]&amp;OB_Act[[#This Row],[Contractor]]</f>
        <v/>
      </c>
      <c r="Y60" s="126" t="e">
        <f>IF(OB_Act[[#This Row],[Material]]="MUD",VLOOKUP(OB_Act[[#This Row],[Dump Truck]],Type_mud[[Nama DT]:[Type]],2,0),VLOOKUP(OB_Act[[#This Row],[Dump Truck]],Type_DT_OB[[Nama DT]:[Type]],4,0))</f>
        <v>#N/A</v>
      </c>
      <c r="Z60" s="126" t="e">
        <f>"JBG-OP1-CENTRAL-"&amp;VLOOKUP(OB_Act[[#This Row],[Pit]],$AK$2:$AL$9,2,0)&amp;"-WASTE-"&amp;OB_Act[[#This Row],[Material]]</f>
        <v>#N/A</v>
      </c>
      <c r="AA60" s="126" t="e">
        <f>"JBG-DUMP1-"&amp;VLOOKUP(OB_Act[[#This Row],[Dump]],$AF$2:$AG$55,2,0)&amp;"-"&amp;OB_Act[[#This Row],[Material]]</f>
        <v>#N/A</v>
      </c>
      <c r="AB60" s="126" t="str">
        <f>"JBG-"&amp;OB_Act[[#This Row],[Material]]</f>
        <v>JBG-</v>
      </c>
      <c r="BD60" s="105" t="str">
        <f>RIGHT(Type_DT_OB[[#This Row],[Nama DT]],3)</f>
        <v>601</v>
      </c>
      <c r="BE60" s="105" t="s">
        <v>446</v>
      </c>
      <c r="BF60" s="105">
        <v>15.4</v>
      </c>
      <c r="BG60" s="105">
        <v>9</v>
      </c>
      <c r="BH60" s="105" t="s">
        <v>437</v>
      </c>
      <c r="BI60" s="105" t="s">
        <v>438</v>
      </c>
      <c r="BK60" s="105" t="str">
        <f>RIGHT(Type_mud[[#This Row],[Nama DT]],3)</f>
        <v>601</v>
      </c>
      <c r="BL60" s="105" t="s">
        <v>446</v>
      </c>
      <c r="BM60" s="105" t="s">
        <v>643</v>
      </c>
    </row>
    <row r="61" spans="1:65">
      <c r="M61" s="105">
        <f>OB_Act[[#This Row],[Volume (BCM)]]*OB_Act[[#This Row],[Distance (Meter)]]</f>
        <v>0</v>
      </c>
      <c r="N61" s="105" t="str">
        <f>LEFT(OB_Act[[#This Row],[Dump Truck]],3)</f>
        <v/>
      </c>
      <c r="O61" s="126" t="str">
        <f>OB_Act[[#This Row],[Day]]&amp;OB_Act[[#This Row],[Excavator]]&amp;OB_Act[[#This Row],[Contractor]]&amp;OB_Act[[#This Row],[Pit]]&amp;OB_Act[[#This Row],[Shift]]</f>
        <v/>
      </c>
      <c r="P61" s="126">
        <f>1/COUNTIF(OB_Act[Dummy_Exc],OB_Act[[#This Row],[Dummy_Exc]])</f>
        <v>4.1841004184100415E-3</v>
      </c>
      <c r="Q61" s="105" t="str">
        <f>OB_Act[[#This Row],[Day]]&amp;OB_Act[[#This Row],[Dump Truck]]&amp;OB_Act[[#This Row],[Pit]]&amp;OB_Act[[#This Row],[Shift]]</f>
        <v/>
      </c>
      <c r="R61" s="126">
        <f>1/COUNTIF(OB_Act[Dummy_DT],OB_Act[[#This Row],[Dummy_DT]])</f>
        <v>4.1841004184100415E-3</v>
      </c>
      <c r="S61" s="126">
        <f>OB_Act[[#This Row],[Distance (Meter)]]*OB_Act[[#This Row],[Volume (BCM)]]</f>
        <v>0</v>
      </c>
      <c r="T61" s="105" t="str">
        <f>OB_Act[[#This Row],[Day]]&amp;OB_Act[[#This Row],[Dump Truck]]&amp;OB_Act[[#This Row],[Contractor]]&amp;OB_Act[[#This Row],[Excavator]]&amp;OB_Act[[#This Row],[Shift]]</f>
        <v/>
      </c>
      <c r="U61" s="126">
        <f>1/COUNTIF(OB_Act[Dummy_DT/Exc],OB_Act[[#This Row],[Dummy_DT/Exc]])</f>
        <v>4.1841004184100415E-3</v>
      </c>
      <c r="V61" s="126" t="e">
        <f>VLOOKUP(OB_Act[[#This Row],[Day]],$AO$2:$AR$32,4,0)</f>
        <v>#N/A</v>
      </c>
      <c r="W61" s="126" t="e">
        <f>VLOOKUP(OB_Act[[#This Row],[Dump Area]],$AE$2:$AF$51,2,0)</f>
        <v>#N/A</v>
      </c>
      <c r="X61" s="126" t="str">
        <f>OB_Act[[#This Row],[Excavator]]&amp;OB_Act[[#This Row],[Contractor]]</f>
        <v/>
      </c>
      <c r="Y61" s="126" t="e">
        <f>IF(OB_Act[[#This Row],[Material]]="MUD",VLOOKUP(OB_Act[[#This Row],[Dump Truck]],Type_mud[[Nama DT]:[Type]],2,0),VLOOKUP(OB_Act[[#This Row],[Dump Truck]],Type_DT_OB[[Nama DT]:[Type]],4,0))</f>
        <v>#N/A</v>
      </c>
      <c r="Z61" s="126" t="e">
        <f>"JBG-OP1-CENTRAL-"&amp;VLOOKUP(OB_Act[[#This Row],[Pit]],$AK$2:$AL$9,2,0)&amp;"-WASTE-"&amp;OB_Act[[#This Row],[Material]]</f>
        <v>#N/A</v>
      </c>
      <c r="AA61" s="126" t="e">
        <f>"JBG-DUMP1-"&amp;VLOOKUP(OB_Act[[#This Row],[Dump]],$AF$2:$AG$55,2,0)&amp;"-"&amp;OB_Act[[#This Row],[Material]]</f>
        <v>#N/A</v>
      </c>
      <c r="AB61" s="126" t="str">
        <f>"JBG-"&amp;OB_Act[[#This Row],[Material]]</f>
        <v>JBG-</v>
      </c>
      <c r="BD61" s="105" t="str">
        <f>RIGHT(Type_DT_OB[[#This Row],[Nama DT]],3)</f>
        <v>602</v>
      </c>
      <c r="BE61" s="105" t="s">
        <v>447</v>
      </c>
      <c r="BF61" s="105">
        <v>15.4</v>
      </c>
      <c r="BG61" s="105">
        <v>9</v>
      </c>
      <c r="BH61" s="105" t="s">
        <v>437</v>
      </c>
      <c r="BI61" s="105" t="s">
        <v>438</v>
      </c>
      <c r="BK61" s="105" t="str">
        <f>RIGHT(Type_mud[[#This Row],[Nama DT]],3)</f>
        <v>602</v>
      </c>
      <c r="BL61" s="105" t="s">
        <v>447</v>
      </c>
      <c r="BM61" s="105" t="s">
        <v>643</v>
      </c>
    </row>
    <row r="62" spans="1:65">
      <c r="M62" s="105">
        <f>OB_Act[[#This Row],[Volume (BCM)]]*OB_Act[[#This Row],[Distance (Meter)]]</f>
        <v>0</v>
      </c>
      <c r="N62" s="105" t="str">
        <f>LEFT(OB_Act[[#This Row],[Dump Truck]],3)</f>
        <v/>
      </c>
      <c r="O62" s="126" t="str">
        <f>OB_Act[[#This Row],[Day]]&amp;OB_Act[[#This Row],[Excavator]]&amp;OB_Act[[#This Row],[Contractor]]&amp;OB_Act[[#This Row],[Pit]]&amp;OB_Act[[#This Row],[Shift]]</f>
        <v/>
      </c>
      <c r="P62" s="126">
        <f>1/COUNTIF(OB_Act[Dummy_Exc],OB_Act[[#This Row],[Dummy_Exc]])</f>
        <v>4.1841004184100415E-3</v>
      </c>
      <c r="Q62" s="105" t="str">
        <f>OB_Act[[#This Row],[Day]]&amp;OB_Act[[#This Row],[Dump Truck]]&amp;OB_Act[[#This Row],[Pit]]&amp;OB_Act[[#This Row],[Shift]]</f>
        <v/>
      </c>
      <c r="R62" s="126">
        <f>1/COUNTIF(OB_Act[Dummy_DT],OB_Act[[#This Row],[Dummy_DT]])</f>
        <v>4.1841004184100415E-3</v>
      </c>
      <c r="S62" s="126">
        <f>OB_Act[[#This Row],[Distance (Meter)]]*OB_Act[[#This Row],[Volume (BCM)]]</f>
        <v>0</v>
      </c>
      <c r="T62" s="105" t="str">
        <f>OB_Act[[#This Row],[Day]]&amp;OB_Act[[#This Row],[Dump Truck]]&amp;OB_Act[[#This Row],[Contractor]]&amp;OB_Act[[#This Row],[Excavator]]&amp;OB_Act[[#This Row],[Shift]]</f>
        <v/>
      </c>
      <c r="U62" s="126">
        <f>1/COUNTIF(OB_Act[Dummy_DT/Exc],OB_Act[[#This Row],[Dummy_DT/Exc]])</f>
        <v>4.1841004184100415E-3</v>
      </c>
      <c r="V62" s="126" t="e">
        <f>VLOOKUP(OB_Act[[#This Row],[Day]],$AO$2:$AR$32,4,0)</f>
        <v>#N/A</v>
      </c>
      <c r="W62" s="126" t="e">
        <f>VLOOKUP(OB_Act[[#This Row],[Dump Area]],$AE$2:$AF$51,2,0)</f>
        <v>#N/A</v>
      </c>
      <c r="X62" s="126" t="str">
        <f>OB_Act[[#This Row],[Excavator]]&amp;OB_Act[[#This Row],[Contractor]]</f>
        <v/>
      </c>
      <c r="Y62" s="126" t="e">
        <f>IF(OB_Act[[#This Row],[Material]]="MUD",VLOOKUP(OB_Act[[#This Row],[Dump Truck]],Type_mud[[Nama DT]:[Type]],2,0),VLOOKUP(OB_Act[[#This Row],[Dump Truck]],Type_DT_OB[[Nama DT]:[Type]],4,0))</f>
        <v>#N/A</v>
      </c>
      <c r="Z62" s="126" t="e">
        <f>"JBG-OP1-CENTRAL-"&amp;VLOOKUP(OB_Act[[#This Row],[Pit]],$AK$2:$AL$9,2,0)&amp;"-WASTE-"&amp;OB_Act[[#This Row],[Material]]</f>
        <v>#N/A</v>
      </c>
      <c r="AA62" s="126" t="e">
        <f>"JBG-DUMP1-"&amp;VLOOKUP(OB_Act[[#This Row],[Dump]],$AF$2:$AG$55,2,0)&amp;"-"&amp;OB_Act[[#This Row],[Material]]</f>
        <v>#N/A</v>
      </c>
      <c r="AB62" s="126" t="str">
        <f>"JBG-"&amp;OB_Act[[#This Row],[Material]]</f>
        <v>JBG-</v>
      </c>
      <c r="BD62" s="105" t="str">
        <f>RIGHT(Type_DT_OB[[#This Row],[Nama DT]],3)</f>
        <v>603</v>
      </c>
      <c r="BE62" s="105" t="s">
        <v>448</v>
      </c>
      <c r="BF62" s="105">
        <v>15.4</v>
      </c>
      <c r="BG62" s="105">
        <v>9</v>
      </c>
      <c r="BH62" s="105" t="s">
        <v>437</v>
      </c>
      <c r="BI62" s="105" t="s">
        <v>438</v>
      </c>
      <c r="BK62" s="105" t="str">
        <f>RIGHT(Type_mud[[#This Row],[Nama DT]],3)</f>
        <v>603</v>
      </c>
      <c r="BL62" s="105" t="s">
        <v>448</v>
      </c>
      <c r="BM62" s="105" t="s">
        <v>643</v>
      </c>
    </row>
    <row r="63" spans="1:65">
      <c r="M63" s="105">
        <f>OB_Act[[#This Row],[Volume (BCM)]]*OB_Act[[#This Row],[Distance (Meter)]]</f>
        <v>0</v>
      </c>
      <c r="N63" s="105" t="str">
        <f>LEFT(OB_Act[[#This Row],[Dump Truck]],3)</f>
        <v/>
      </c>
      <c r="O63" s="126" t="str">
        <f>OB_Act[[#This Row],[Day]]&amp;OB_Act[[#This Row],[Excavator]]&amp;OB_Act[[#This Row],[Contractor]]&amp;OB_Act[[#This Row],[Pit]]&amp;OB_Act[[#This Row],[Shift]]</f>
        <v/>
      </c>
      <c r="P63" s="126">
        <f>1/COUNTIF(OB_Act[Dummy_Exc],OB_Act[[#This Row],[Dummy_Exc]])</f>
        <v>4.1841004184100415E-3</v>
      </c>
      <c r="Q63" s="105" t="str">
        <f>OB_Act[[#This Row],[Day]]&amp;OB_Act[[#This Row],[Dump Truck]]&amp;OB_Act[[#This Row],[Pit]]&amp;OB_Act[[#This Row],[Shift]]</f>
        <v/>
      </c>
      <c r="R63" s="126">
        <f>1/COUNTIF(OB_Act[Dummy_DT],OB_Act[[#This Row],[Dummy_DT]])</f>
        <v>4.1841004184100415E-3</v>
      </c>
      <c r="S63" s="126">
        <f>OB_Act[[#This Row],[Distance (Meter)]]*OB_Act[[#This Row],[Volume (BCM)]]</f>
        <v>0</v>
      </c>
      <c r="T63" s="105" t="str">
        <f>OB_Act[[#This Row],[Day]]&amp;OB_Act[[#This Row],[Dump Truck]]&amp;OB_Act[[#This Row],[Contractor]]&amp;OB_Act[[#This Row],[Excavator]]&amp;OB_Act[[#This Row],[Shift]]</f>
        <v/>
      </c>
      <c r="U63" s="126">
        <f>1/COUNTIF(OB_Act[Dummy_DT/Exc],OB_Act[[#This Row],[Dummy_DT/Exc]])</f>
        <v>4.1841004184100415E-3</v>
      </c>
      <c r="V63" s="126" t="e">
        <f>VLOOKUP(OB_Act[[#This Row],[Day]],$AO$2:$AR$32,4,0)</f>
        <v>#N/A</v>
      </c>
      <c r="W63" s="126" t="e">
        <f>VLOOKUP(OB_Act[[#This Row],[Dump Area]],$AE$2:$AF$51,2,0)</f>
        <v>#N/A</v>
      </c>
      <c r="X63" s="126" t="str">
        <f>OB_Act[[#This Row],[Excavator]]&amp;OB_Act[[#This Row],[Contractor]]</f>
        <v/>
      </c>
      <c r="Y63" s="126" t="e">
        <f>IF(OB_Act[[#This Row],[Material]]="MUD",VLOOKUP(OB_Act[[#This Row],[Dump Truck]],Type_mud[[Nama DT]:[Type]],2,0),VLOOKUP(OB_Act[[#This Row],[Dump Truck]],Type_DT_OB[[Nama DT]:[Type]],4,0))</f>
        <v>#N/A</v>
      </c>
      <c r="Z63" s="126" t="e">
        <f>"JBG-OP1-CENTRAL-"&amp;VLOOKUP(OB_Act[[#This Row],[Pit]],$AK$2:$AL$9,2,0)&amp;"-WASTE-"&amp;OB_Act[[#This Row],[Material]]</f>
        <v>#N/A</v>
      </c>
      <c r="AA63" s="126" t="e">
        <f>"JBG-DUMP1-"&amp;VLOOKUP(OB_Act[[#This Row],[Dump]],$AF$2:$AG$55,2,0)&amp;"-"&amp;OB_Act[[#This Row],[Material]]</f>
        <v>#N/A</v>
      </c>
      <c r="AB63" s="126" t="str">
        <f>"JBG-"&amp;OB_Act[[#This Row],[Material]]</f>
        <v>JBG-</v>
      </c>
      <c r="BD63" s="105" t="str">
        <f>RIGHT(Type_DT_OB[[#This Row],[Nama DT]],3)</f>
        <v>604</v>
      </c>
      <c r="BE63" s="105" t="s">
        <v>449</v>
      </c>
      <c r="BF63" s="105">
        <v>15.4</v>
      </c>
      <c r="BG63" s="105">
        <v>9</v>
      </c>
      <c r="BH63" s="105" t="s">
        <v>437</v>
      </c>
      <c r="BI63" s="105" t="s">
        <v>438</v>
      </c>
      <c r="BK63" s="105" t="str">
        <f>RIGHT(Type_mud[[#This Row],[Nama DT]],3)</f>
        <v>604</v>
      </c>
      <c r="BL63" s="105" t="s">
        <v>449</v>
      </c>
      <c r="BM63" s="105" t="s">
        <v>643</v>
      </c>
    </row>
    <row r="64" spans="1:65">
      <c r="M64" s="105">
        <f>OB_Act[[#This Row],[Volume (BCM)]]*OB_Act[[#This Row],[Distance (Meter)]]</f>
        <v>0</v>
      </c>
      <c r="N64" s="105" t="str">
        <f>LEFT(OB_Act[[#This Row],[Dump Truck]],3)</f>
        <v/>
      </c>
      <c r="O64" s="126" t="str">
        <f>OB_Act[[#This Row],[Day]]&amp;OB_Act[[#This Row],[Excavator]]&amp;OB_Act[[#This Row],[Contractor]]&amp;OB_Act[[#This Row],[Pit]]&amp;OB_Act[[#This Row],[Shift]]</f>
        <v/>
      </c>
      <c r="P64" s="126">
        <f>1/COUNTIF(OB_Act[Dummy_Exc],OB_Act[[#This Row],[Dummy_Exc]])</f>
        <v>4.1841004184100415E-3</v>
      </c>
      <c r="Q64" s="105" t="str">
        <f>OB_Act[[#This Row],[Day]]&amp;OB_Act[[#This Row],[Dump Truck]]&amp;OB_Act[[#This Row],[Pit]]&amp;OB_Act[[#This Row],[Shift]]</f>
        <v/>
      </c>
      <c r="R64" s="126">
        <f>1/COUNTIF(OB_Act[Dummy_DT],OB_Act[[#This Row],[Dummy_DT]])</f>
        <v>4.1841004184100415E-3</v>
      </c>
      <c r="S64" s="126">
        <f>OB_Act[[#This Row],[Distance (Meter)]]*OB_Act[[#This Row],[Volume (BCM)]]</f>
        <v>0</v>
      </c>
      <c r="T64" s="105" t="str">
        <f>OB_Act[[#This Row],[Day]]&amp;OB_Act[[#This Row],[Dump Truck]]&amp;OB_Act[[#This Row],[Contractor]]&amp;OB_Act[[#This Row],[Excavator]]&amp;OB_Act[[#This Row],[Shift]]</f>
        <v/>
      </c>
      <c r="U64" s="126">
        <f>1/COUNTIF(OB_Act[Dummy_DT/Exc],OB_Act[[#This Row],[Dummy_DT/Exc]])</f>
        <v>4.1841004184100415E-3</v>
      </c>
      <c r="V64" s="126" t="e">
        <f>VLOOKUP(OB_Act[[#This Row],[Day]],$AO$2:$AR$32,4,0)</f>
        <v>#N/A</v>
      </c>
      <c r="W64" s="126" t="e">
        <f>VLOOKUP(OB_Act[[#This Row],[Dump Area]],$AE$2:$AF$51,2,0)</f>
        <v>#N/A</v>
      </c>
      <c r="X64" s="126" t="str">
        <f>OB_Act[[#This Row],[Excavator]]&amp;OB_Act[[#This Row],[Contractor]]</f>
        <v/>
      </c>
      <c r="Y64" s="126" t="e">
        <f>IF(OB_Act[[#This Row],[Material]]="MUD",VLOOKUP(OB_Act[[#This Row],[Dump Truck]],Type_mud[[Nama DT]:[Type]],2,0),VLOOKUP(OB_Act[[#This Row],[Dump Truck]],Type_DT_OB[[Nama DT]:[Type]],4,0))</f>
        <v>#N/A</v>
      </c>
      <c r="Z64" s="126" t="e">
        <f>"JBG-OP1-CENTRAL-"&amp;VLOOKUP(OB_Act[[#This Row],[Pit]],$AK$2:$AL$9,2,0)&amp;"-WASTE-"&amp;OB_Act[[#This Row],[Material]]</f>
        <v>#N/A</v>
      </c>
      <c r="AA64" s="126" t="e">
        <f>"JBG-DUMP1-"&amp;VLOOKUP(OB_Act[[#This Row],[Dump]],$AF$2:$AG$55,2,0)&amp;"-"&amp;OB_Act[[#This Row],[Material]]</f>
        <v>#N/A</v>
      </c>
      <c r="AB64" s="126" t="str">
        <f>"JBG-"&amp;OB_Act[[#This Row],[Material]]</f>
        <v>JBG-</v>
      </c>
      <c r="BD64" s="105" t="str">
        <f>RIGHT(Type_DT_OB[[#This Row],[Nama DT]],3)</f>
        <v>605</v>
      </c>
      <c r="BE64" s="105" t="s">
        <v>450</v>
      </c>
      <c r="BF64" s="105">
        <v>15.4</v>
      </c>
      <c r="BG64" s="105">
        <v>9</v>
      </c>
      <c r="BH64" s="105" t="s">
        <v>437</v>
      </c>
      <c r="BI64" s="105" t="s">
        <v>438</v>
      </c>
      <c r="BK64" s="105" t="str">
        <f>RIGHT(Type_mud[[#This Row],[Nama DT]],3)</f>
        <v>605</v>
      </c>
      <c r="BL64" s="105" t="s">
        <v>450</v>
      </c>
      <c r="BM64" s="105" t="s">
        <v>643</v>
      </c>
    </row>
    <row r="65" spans="13:65">
      <c r="M65" s="105">
        <f>OB_Act[[#This Row],[Volume (BCM)]]*OB_Act[[#This Row],[Distance (Meter)]]</f>
        <v>0</v>
      </c>
      <c r="N65" s="105" t="str">
        <f>LEFT(OB_Act[[#This Row],[Dump Truck]],3)</f>
        <v/>
      </c>
      <c r="O65" s="126" t="str">
        <f>OB_Act[[#This Row],[Day]]&amp;OB_Act[[#This Row],[Excavator]]&amp;OB_Act[[#This Row],[Contractor]]&amp;OB_Act[[#This Row],[Pit]]&amp;OB_Act[[#This Row],[Shift]]</f>
        <v/>
      </c>
      <c r="P65" s="126">
        <f>1/COUNTIF(OB_Act[Dummy_Exc],OB_Act[[#This Row],[Dummy_Exc]])</f>
        <v>4.1841004184100415E-3</v>
      </c>
      <c r="Q65" s="105" t="str">
        <f>OB_Act[[#This Row],[Day]]&amp;OB_Act[[#This Row],[Dump Truck]]&amp;OB_Act[[#This Row],[Pit]]&amp;OB_Act[[#This Row],[Shift]]</f>
        <v/>
      </c>
      <c r="R65" s="126">
        <f>1/COUNTIF(OB_Act[Dummy_DT],OB_Act[[#This Row],[Dummy_DT]])</f>
        <v>4.1841004184100415E-3</v>
      </c>
      <c r="S65" s="126">
        <f>OB_Act[[#This Row],[Distance (Meter)]]*OB_Act[[#This Row],[Volume (BCM)]]</f>
        <v>0</v>
      </c>
      <c r="T65" s="105" t="str">
        <f>OB_Act[[#This Row],[Day]]&amp;OB_Act[[#This Row],[Dump Truck]]&amp;OB_Act[[#This Row],[Contractor]]&amp;OB_Act[[#This Row],[Excavator]]&amp;OB_Act[[#This Row],[Shift]]</f>
        <v/>
      </c>
      <c r="U65" s="126">
        <f>1/COUNTIF(OB_Act[Dummy_DT/Exc],OB_Act[[#This Row],[Dummy_DT/Exc]])</f>
        <v>4.1841004184100415E-3</v>
      </c>
      <c r="V65" s="126" t="e">
        <f>VLOOKUP(OB_Act[[#This Row],[Day]],$AO$2:$AR$32,4,0)</f>
        <v>#N/A</v>
      </c>
      <c r="W65" s="126" t="e">
        <f>VLOOKUP(OB_Act[[#This Row],[Dump Area]],$AE$2:$AF$51,2,0)</f>
        <v>#N/A</v>
      </c>
      <c r="X65" s="126" t="str">
        <f>OB_Act[[#This Row],[Excavator]]&amp;OB_Act[[#This Row],[Contractor]]</f>
        <v/>
      </c>
      <c r="Y65" s="126" t="e">
        <f>IF(OB_Act[[#This Row],[Material]]="MUD",VLOOKUP(OB_Act[[#This Row],[Dump Truck]],Type_mud[[Nama DT]:[Type]],2,0),VLOOKUP(OB_Act[[#This Row],[Dump Truck]],Type_DT_OB[[Nama DT]:[Type]],4,0))</f>
        <v>#N/A</v>
      </c>
      <c r="Z65" s="126" t="e">
        <f>"JBG-OP1-CENTRAL-"&amp;VLOOKUP(OB_Act[[#This Row],[Pit]],$AK$2:$AL$9,2,0)&amp;"-WASTE-"&amp;OB_Act[[#This Row],[Material]]</f>
        <v>#N/A</v>
      </c>
      <c r="AA65" s="126" t="e">
        <f>"JBG-DUMP1-"&amp;VLOOKUP(OB_Act[[#This Row],[Dump]],$AF$2:$AG$55,2,0)&amp;"-"&amp;OB_Act[[#This Row],[Material]]</f>
        <v>#N/A</v>
      </c>
      <c r="AB65" s="126" t="str">
        <f>"JBG-"&amp;OB_Act[[#This Row],[Material]]</f>
        <v>JBG-</v>
      </c>
      <c r="BD65" s="105" t="str">
        <f>RIGHT(Type_DT_OB[[#This Row],[Nama DT]],3)</f>
        <v>606</v>
      </c>
      <c r="BE65" s="105" t="s">
        <v>451</v>
      </c>
      <c r="BF65" s="105">
        <v>15.4</v>
      </c>
      <c r="BG65" s="105">
        <v>9</v>
      </c>
      <c r="BH65" s="105" t="s">
        <v>437</v>
      </c>
      <c r="BI65" s="105" t="s">
        <v>438</v>
      </c>
      <c r="BK65" s="105" t="str">
        <f>RIGHT(Type_mud[[#This Row],[Nama DT]],3)</f>
        <v>606</v>
      </c>
      <c r="BL65" s="105" t="s">
        <v>451</v>
      </c>
      <c r="BM65" s="105" t="s">
        <v>643</v>
      </c>
    </row>
    <row r="66" spans="13:65">
      <c r="M66" s="105">
        <f>OB_Act[[#This Row],[Volume (BCM)]]*OB_Act[[#This Row],[Distance (Meter)]]</f>
        <v>0</v>
      </c>
      <c r="N66" s="105" t="str">
        <f>LEFT(OB_Act[[#This Row],[Dump Truck]],3)</f>
        <v/>
      </c>
      <c r="O66" s="126" t="str">
        <f>OB_Act[[#This Row],[Day]]&amp;OB_Act[[#This Row],[Excavator]]&amp;OB_Act[[#This Row],[Contractor]]&amp;OB_Act[[#This Row],[Pit]]&amp;OB_Act[[#This Row],[Shift]]</f>
        <v/>
      </c>
      <c r="P66" s="126">
        <f>1/COUNTIF(OB_Act[Dummy_Exc],OB_Act[[#This Row],[Dummy_Exc]])</f>
        <v>4.1841004184100415E-3</v>
      </c>
      <c r="Q66" s="105" t="str">
        <f>OB_Act[[#This Row],[Day]]&amp;OB_Act[[#This Row],[Dump Truck]]&amp;OB_Act[[#This Row],[Pit]]&amp;OB_Act[[#This Row],[Shift]]</f>
        <v/>
      </c>
      <c r="R66" s="126">
        <f>1/COUNTIF(OB_Act[Dummy_DT],OB_Act[[#This Row],[Dummy_DT]])</f>
        <v>4.1841004184100415E-3</v>
      </c>
      <c r="S66" s="126">
        <f>OB_Act[[#This Row],[Distance (Meter)]]*OB_Act[[#This Row],[Volume (BCM)]]</f>
        <v>0</v>
      </c>
      <c r="T66" s="105" t="str">
        <f>OB_Act[[#This Row],[Day]]&amp;OB_Act[[#This Row],[Dump Truck]]&amp;OB_Act[[#This Row],[Contractor]]&amp;OB_Act[[#This Row],[Excavator]]&amp;OB_Act[[#This Row],[Shift]]</f>
        <v/>
      </c>
      <c r="U66" s="126">
        <f>1/COUNTIF(OB_Act[Dummy_DT/Exc],OB_Act[[#This Row],[Dummy_DT/Exc]])</f>
        <v>4.1841004184100415E-3</v>
      </c>
      <c r="V66" s="126" t="e">
        <f>VLOOKUP(OB_Act[[#This Row],[Day]],$AO$2:$AR$32,4,0)</f>
        <v>#N/A</v>
      </c>
      <c r="W66" s="126" t="e">
        <f>VLOOKUP(OB_Act[[#This Row],[Dump Area]],$AE$2:$AF$51,2,0)</f>
        <v>#N/A</v>
      </c>
      <c r="X66" s="126" t="str">
        <f>OB_Act[[#This Row],[Excavator]]&amp;OB_Act[[#This Row],[Contractor]]</f>
        <v/>
      </c>
      <c r="Y66" s="126" t="e">
        <f>IF(OB_Act[[#This Row],[Material]]="MUD",VLOOKUP(OB_Act[[#This Row],[Dump Truck]],Type_mud[[Nama DT]:[Type]],2,0),VLOOKUP(OB_Act[[#This Row],[Dump Truck]],Type_DT_OB[[Nama DT]:[Type]],4,0))</f>
        <v>#N/A</v>
      </c>
      <c r="Z66" s="126" t="e">
        <f>"JBG-OP1-CENTRAL-"&amp;VLOOKUP(OB_Act[[#This Row],[Pit]],$AK$2:$AL$9,2,0)&amp;"-WASTE-"&amp;OB_Act[[#This Row],[Material]]</f>
        <v>#N/A</v>
      </c>
      <c r="AA66" s="126" t="e">
        <f>"JBG-DUMP1-"&amp;VLOOKUP(OB_Act[[#This Row],[Dump]],$AF$2:$AG$55,2,0)&amp;"-"&amp;OB_Act[[#This Row],[Material]]</f>
        <v>#N/A</v>
      </c>
      <c r="AB66" s="126" t="str">
        <f>"JBG-"&amp;OB_Act[[#This Row],[Material]]</f>
        <v>JBG-</v>
      </c>
      <c r="BD66" s="105" t="str">
        <f>RIGHT(Type_DT_OB[[#This Row],[Nama DT]],3)</f>
        <v>607</v>
      </c>
      <c r="BE66" s="105" t="s">
        <v>452</v>
      </c>
      <c r="BF66" s="105">
        <v>15.4</v>
      </c>
      <c r="BG66" s="105">
        <v>9</v>
      </c>
      <c r="BH66" s="105" t="s">
        <v>437</v>
      </c>
      <c r="BI66" s="105" t="s">
        <v>438</v>
      </c>
      <c r="BK66" s="105" t="str">
        <f>RIGHT(Type_mud[[#This Row],[Nama DT]],3)</f>
        <v>607</v>
      </c>
      <c r="BL66" s="105" t="s">
        <v>452</v>
      </c>
      <c r="BM66" s="105" t="s">
        <v>643</v>
      </c>
    </row>
    <row r="67" spans="13:65">
      <c r="M67" s="105">
        <f>OB_Act[[#This Row],[Volume (BCM)]]*OB_Act[[#This Row],[Distance (Meter)]]</f>
        <v>0</v>
      </c>
      <c r="N67" s="105" t="str">
        <f>LEFT(OB_Act[[#This Row],[Dump Truck]],3)</f>
        <v/>
      </c>
      <c r="O67" s="126" t="str">
        <f>OB_Act[[#This Row],[Day]]&amp;OB_Act[[#This Row],[Excavator]]&amp;OB_Act[[#This Row],[Contractor]]&amp;OB_Act[[#This Row],[Pit]]&amp;OB_Act[[#This Row],[Shift]]</f>
        <v/>
      </c>
      <c r="P67" s="126">
        <f>1/COUNTIF(OB_Act[Dummy_Exc],OB_Act[[#This Row],[Dummy_Exc]])</f>
        <v>4.1841004184100415E-3</v>
      </c>
      <c r="Q67" s="105" t="str">
        <f>OB_Act[[#This Row],[Day]]&amp;OB_Act[[#This Row],[Dump Truck]]&amp;OB_Act[[#This Row],[Pit]]&amp;OB_Act[[#This Row],[Shift]]</f>
        <v/>
      </c>
      <c r="R67" s="126">
        <f>1/COUNTIF(OB_Act[Dummy_DT],OB_Act[[#This Row],[Dummy_DT]])</f>
        <v>4.1841004184100415E-3</v>
      </c>
      <c r="S67" s="126">
        <f>OB_Act[[#This Row],[Distance (Meter)]]*OB_Act[[#This Row],[Volume (BCM)]]</f>
        <v>0</v>
      </c>
      <c r="T67" s="105" t="str">
        <f>OB_Act[[#This Row],[Day]]&amp;OB_Act[[#This Row],[Dump Truck]]&amp;OB_Act[[#This Row],[Contractor]]&amp;OB_Act[[#This Row],[Excavator]]&amp;OB_Act[[#This Row],[Shift]]</f>
        <v/>
      </c>
      <c r="U67" s="126">
        <f>1/COUNTIF(OB_Act[Dummy_DT/Exc],OB_Act[[#This Row],[Dummy_DT/Exc]])</f>
        <v>4.1841004184100415E-3</v>
      </c>
      <c r="V67" s="126" t="e">
        <f>VLOOKUP(OB_Act[[#This Row],[Day]],$AO$2:$AR$32,4,0)</f>
        <v>#N/A</v>
      </c>
      <c r="W67" s="126" t="e">
        <f>VLOOKUP(OB_Act[[#This Row],[Dump Area]],$AE$2:$AF$51,2,0)</f>
        <v>#N/A</v>
      </c>
      <c r="X67" s="126" t="str">
        <f>OB_Act[[#This Row],[Excavator]]&amp;OB_Act[[#This Row],[Contractor]]</f>
        <v/>
      </c>
      <c r="Y67" s="126" t="e">
        <f>IF(OB_Act[[#This Row],[Material]]="MUD",VLOOKUP(OB_Act[[#This Row],[Dump Truck]],Type_mud[[Nama DT]:[Type]],2,0),VLOOKUP(OB_Act[[#This Row],[Dump Truck]],Type_DT_OB[[Nama DT]:[Type]],4,0))</f>
        <v>#N/A</v>
      </c>
      <c r="Z67" s="126" t="e">
        <f>"JBG-OP1-CENTRAL-"&amp;VLOOKUP(OB_Act[[#This Row],[Pit]],$AK$2:$AL$9,2,0)&amp;"-WASTE-"&amp;OB_Act[[#This Row],[Material]]</f>
        <v>#N/A</v>
      </c>
      <c r="AA67" s="126" t="e">
        <f>"JBG-DUMP1-"&amp;VLOOKUP(OB_Act[[#This Row],[Dump]],$AF$2:$AG$55,2,0)&amp;"-"&amp;OB_Act[[#This Row],[Material]]</f>
        <v>#N/A</v>
      </c>
      <c r="AB67" s="126" t="str">
        <f>"JBG-"&amp;OB_Act[[#This Row],[Material]]</f>
        <v>JBG-</v>
      </c>
      <c r="BD67" s="105" t="str">
        <f>RIGHT(Type_DT_OB[[#This Row],[Nama DT]],3)</f>
        <v>608</v>
      </c>
      <c r="BE67" s="105" t="s">
        <v>453</v>
      </c>
      <c r="BF67" s="105">
        <v>14.5</v>
      </c>
      <c r="BG67" s="105">
        <v>9</v>
      </c>
      <c r="BH67" s="105" t="s">
        <v>384</v>
      </c>
      <c r="BI67" s="105" t="s">
        <v>385</v>
      </c>
      <c r="BK67" s="105" t="str">
        <f>RIGHT(Type_mud[[#This Row],[Nama DT]],3)</f>
        <v>608</v>
      </c>
      <c r="BL67" s="105" t="s">
        <v>453</v>
      </c>
      <c r="BM67" s="105" t="s">
        <v>580</v>
      </c>
    </row>
    <row r="68" spans="13:65">
      <c r="M68" s="105">
        <f>OB_Act[[#This Row],[Volume (BCM)]]*OB_Act[[#This Row],[Distance (Meter)]]</f>
        <v>0</v>
      </c>
      <c r="N68" s="105" t="str">
        <f>LEFT(OB_Act[[#This Row],[Dump Truck]],3)</f>
        <v/>
      </c>
      <c r="O68" s="126" t="str">
        <f>OB_Act[[#This Row],[Day]]&amp;OB_Act[[#This Row],[Excavator]]&amp;OB_Act[[#This Row],[Contractor]]&amp;OB_Act[[#This Row],[Pit]]&amp;OB_Act[[#This Row],[Shift]]</f>
        <v/>
      </c>
      <c r="P68" s="126">
        <f>1/COUNTIF(OB_Act[Dummy_Exc],OB_Act[[#This Row],[Dummy_Exc]])</f>
        <v>4.1841004184100415E-3</v>
      </c>
      <c r="Q68" s="105" t="str">
        <f>OB_Act[[#This Row],[Day]]&amp;OB_Act[[#This Row],[Dump Truck]]&amp;OB_Act[[#This Row],[Pit]]&amp;OB_Act[[#This Row],[Shift]]</f>
        <v/>
      </c>
      <c r="R68" s="126">
        <f>1/COUNTIF(OB_Act[Dummy_DT],OB_Act[[#This Row],[Dummy_DT]])</f>
        <v>4.1841004184100415E-3</v>
      </c>
      <c r="S68" s="126">
        <f>OB_Act[[#This Row],[Distance (Meter)]]*OB_Act[[#This Row],[Volume (BCM)]]</f>
        <v>0</v>
      </c>
      <c r="T68" s="105" t="str">
        <f>OB_Act[[#This Row],[Day]]&amp;OB_Act[[#This Row],[Dump Truck]]&amp;OB_Act[[#This Row],[Contractor]]&amp;OB_Act[[#This Row],[Excavator]]&amp;OB_Act[[#This Row],[Shift]]</f>
        <v/>
      </c>
      <c r="U68" s="126">
        <f>1/COUNTIF(OB_Act[Dummy_DT/Exc],OB_Act[[#This Row],[Dummy_DT/Exc]])</f>
        <v>4.1841004184100415E-3</v>
      </c>
      <c r="V68" s="126" t="e">
        <f>VLOOKUP(OB_Act[[#This Row],[Day]],$AO$2:$AR$32,4,0)</f>
        <v>#N/A</v>
      </c>
      <c r="W68" s="126" t="e">
        <f>VLOOKUP(OB_Act[[#This Row],[Dump Area]],$AE$2:$AF$51,2,0)</f>
        <v>#N/A</v>
      </c>
      <c r="X68" s="126" t="str">
        <f>OB_Act[[#This Row],[Excavator]]&amp;OB_Act[[#This Row],[Contractor]]</f>
        <v/>
      </c>
      <c r="Y68" s="126" t="e">
        <f>IF(OB_Act[[#This Row],[Material]]="MUD",VLOOKUP(OB_Act[[#This Row],[Dump Truck]],Type_mud[[Nama DT]:[Type]],2,0),VLOOKUP(OB_Act[[#This Row],[Dump Truck]],Type_DT_OB[[Nama DT]:[Type]],4,0))</f>
        <v>#N/A</v>
      </c>
      <c r="Z68" s="126" t="e">
        <f>"JBG-OP1-CENTRAL-"&amp;VLOOKUP(OB_Act[[#This Row],[Pit]],$AK$2:$AL$9,2,0)&amp;"-WASTE-"&amp;OB_Act[[#This Row],[Material]]</f>
        <v>#N/A</v>
      </c>
      <c r="AA68" s="126" t="e">
        <f>"JBG-DUMP1-"&amp;VLOOKUP(OB_Act[[#This Row],[Dump]],$AF$2:$AG$55,2,0)&amp;"-"&amp;OB_Act[[#This Row],[Material]]</f>
        <v>#N/A</v>
      </c>
      <c r="AB68" s="126" t="str">
        <f>"JBG-"&amp;OB_Act[[#This Row],[Material]]</f>
        <v>JBG-</v>
      </c>
      <c r="BD68" s="105" t="str">
        <f>RIGHT(Type_DT_OB[[#This Row],[Nama DT]],3)</f>
        <v>609</v>
      </c>
      <c r="BE68" s="105" t="s">
        <v>454</v>
      </c>
      <c r="BF68" s="105">
        <v>14.5</v>
      </c>
      <c r="BG68" s="105">
        <v>9</v>
      </c>
      <c r="BH68" s="105" t="s">
        <v>384</v>
      </c>
      <c r="BI68" s="105" t="s">
        <v>385</v>
      </c>
      <c r="BK68" s="105" t="str">
        <f>RIGHT(Type_mud[[#This Row],[Nama DT]],3)</f>
        <v>609</v>
      </c>
      <c r="BL68" s="105" t="s">
        <v>454</v>
      </c>
      <c r="BM68" s="105" t="s">
        <v>580</v>
      </c>
    </row>
    <row r="69" spans="13:65">
      <c r="M69" s="105">
        <f>OB_Act[[#This Row],[Volume (BCM)]]*OB_Act[[#This Row],[Distance (Meter)]]</f>
        <v>0</v>
      </c>
      <c r="N69" s="105" t="str">
        <f>LEFT(OB_Act[[#This Row],[Dump Truck]],3)</f>
        <v/>
      </c>
      <c r="O69" s="126" t="str">
        <f>OB_Act[[#This Row],[Day]]&amp;OB_Act[[#This Row],[Excavator]]&amp;OB_Act[[#This Row],[Contractor]]&amp;OB_Act[[#This Row],[Pit]]&amp;OB_Act[[#This Row],[Shift]]</f>
        <v/>
      </c>
      <c r="P69" s="126">
        <f>1/COUNTIF(OB_Act[Dummy_Exc],OB_Act[[#This Row],[Dummy_Exc]])</f>
        <v>4.1841004184100415E-3</v>
      </c>
      <c r="Q69" s="105" t="str">
        <f>OB_Act[[#This Row],[Day]]&amp;OB_Act[[#This Row],[Dump Truck]]&amp;OB_Act[[#This Row],[Pit]]&amp;OB_Act[[#This Row],[Shift]]</f>
        <v/>
      </c>
      <c r="R69" s="126">
        <f>1/COUNTIF(OB_Act[Dummy_DT],OB_Act[[#This Row],[Dummy_DT]])</f>
        <v>4.1841004184100415E-3</v>
      </c>
      <c r="S69" s="126">
        <f>OB_Act[[#This Row],[Distance (Meter)]]*OB_Act[[#This Row],[Volume (BCM)]]</f>
        <v>0</v>
      </c>
      <c r="T69" s="105" t="str">
        <f>OB_Act[[#This Row],[Day]]&amp;OB_Act[[#This Row],[Dump Truck]]&amp;OB_Act[[#This Row],[Contractor]]&amp;OB_Act[[#This Row],[Excavator]]&amp;OB_Act[[#This Row],[Shift]]</f>
        <v/>
      </c>
      <c r="U69" s="126">
        <f>1/COUNTIF(OB_Act[Dummy_DT/Exc],OB_Act[[#This Row],[Dummy_DT/Exc]])</f>
        <v>4.1841004184100415E-3</v>
      </c>
      <c r="V69" s="126" t="e">
        <f>VLOOKUP(OB_Act[[#This Row],[Day]],$AO$2:$AR$32,4,0)</f>
        <v>#N/A</v>
      </c>
      <c r="W69" s="126" t="e">
        <f>VLOOKUP(OB_Act[[#This Row],[Dump Area]],$AE$2:$AF$51,2,0)</f>
        <v>#N/A</v>
      </c>
      <c r="X69" s="126" t="str">
        <f>OB_Act[[#This Row],[Excavator]]&amp;OB_Act[[#This Row],[Contractor]]</f>
        <v/>
      </c>
      <c r="Y69" s="126" t="e">
        <f>IF(OB_Act[[#This Row],[Material]]="MUD",VLOOKUP(OB_Act[[#This Row],[Dump Truck]],Type_mud[[Nama DT]:[Type]],2,0),VLOOKUP(OB_Act[[#This Row],[Dump Truck]],Type_DT_OB[[Nama DT]:[Type]],4,0))</f>
        <v>#N/A</v>
      </c>
      <c r="Z69" s="126" t="e">
        <f>"JBG-OP1-CENTRAL-"&amp;VLOOKUP(OB_Act[[#This Row],[Pit]],$AK$2:$AL$9,2,0)&amp;"-WASTE-"&amp;OB_Act[[#This Row],[Material]]</f>
        <v>#N/A</v>
      </c>
      <c r="AA69" s="126" t="e">
        <f>"JBG-DUMP1-"&amp;VLOOKUP(OB_Act[[#This Row],[Dump]],$AF$2:$AG$55,2,0)&amp;"-"&amp;OB_Act[[#This Row],[Material]]</f>
        <v>#N/A</v>
      </c>
      <c r="AB69" s="126" t="str">
        <f>"JBG-"&amp;OB_Act[[#This Row],[Material]]</f>
        <v>JBG-</v>
      </c>
      <c r="BD69" s="105" t="str">
        <f>RIGHT(Type_DT_OB[[#This Row],[Nama DT]],3)</f>
        <v>610</v>
      </c>
      <c r="BE69" s="105" t="s">
        <v>455</v>
      </c>
      <c r="BF69" s="105">
        <v>14.5</v>
      </c>
      <c r="BG69" s="105">
        <v>9</v>
      </c>
      <c r="BH69" s="105" t="s">
        <v>384</v>
      </c>
      <c r="BI69" s="105" t="s">
        <v>385</v>
      </c>
      <c r="BK69" s="105" t="str">
        <f>RIGHT(Type_mud[[#This Row],[Nama DT]],3)</f>
        <v>610</v>
      </c>
      <c r="BL69" s="105" t="s">
        <v>455</v>
      </c>
      <c r="BM69" s="105" t="s">
        <v>580</v>
      </c>
    </row>
    <row r="70" spans="13:65">
      <c r="M70" s="105">
        <f>OB_Act[[#This Row],[Volume (BCM)]]*OB_Act[[#This Row],[Distance (Meter)]]</f>
        <v>0</v>
      </c>
      <c r="N70" s="105" t="str">
        <f>LEFT(OB_Act[[#This Row],[Dump Truck]],3)</f>
        <v/>
      </c>
      <c r="O70" s="126" t="str">
        <f>OB_Act[[#This Row],[Day]]&amp;OB_Act[[#This Row],[Excavator]]&amp;OB_Act[[#This Row],[Contractor]]&amp;OB_Act[[#This Row],[Pit]]&amp;OB_Act[[#This Row],[Shift]]</f>
        <v/>
      </c>
      <c r="P70" s="126">
        <f>1/COUNTIF(OB_Act[Dummy_Exc],OB_Act[[#This Row],[Dummy_Exc]])</f>
        <v>4.1841004184100415E-3</v>
      </c>
      <c r="Q70" s="105" t="str">
        <f>OB_Act[[#This Row],[Day]]&amp;OB_Act[[#This Row],[Dump Truck]]&amp;OB_Act[[#This Row],[Pit]]&amp;OB_Act[[#This Row],[Shift]]</f>
        <v/>
      </c>
      <c r="R70" s="126">
        <f>1/COUNTIF(OB_Act[Dummy_DT],OB_Act[[#This Row],[Dummy_DT]])</f>
        <v>4.1841004184100415E-3</v>
      </c>
      <c r="S70" s="126">
        <f>OB_Act[[#This Row],[Distance (Meter)]]*OB_Act[[#This Row],[Volume (BCM)]]</f>
        <v>0</v>
      </c>
      <c r="T70" s="105" t="str">
        <f>OB_Act[[#This Row],[Day]]&amp;OB_Act[[#This Row],[Dump Truck]]&amp;OB_Act[[#This Row],[Contractor]]&amp;OB_Act[[#This Row],[Excavator]]&amp;OB_Act[[#This Row],[Shift]]</f>
        <v/>
      </c>
      <c r="U70" s="126">
        <f>1/COUNTIF(OB_Act[Dummy_DT/Exc],OB_Act[[#This Row],[Dummy_DT/Exc]])</f>
        <v>4.1841004184100415E-3</v>
      </c>
      <c r="V70" s="126" t="e">
        <f>VLOOKUP(OB_Act[[#This Row],[Day]],$AO$2:$AR$32,4,0)</f>
        <v>#N/A</v>
      </c>
      <c r="W70" s="126" t="e">
        <f>VLOOKUP(OB_Act[[#This Row],[Dump Area]],$AE$2:$AF$51,2,0)</f>
        <v>#N/A</v>
      </c>
      <c r="X70" s="126" t="str">
        <f>OB_Act[[#This Row],[Excavator]]&amp;OB_Act[[#This Row],[Contractor]]</f>
        <v/>
      </c>
      <c r="Y70" s="126" t="e">
        <f>IF(OB_Act[[#This Row],[Material]]="MUD",VLOOKUP(OB_Act[[#This Row],[Dump Truck]],Type_mud[[Nama DT]:[Type]],2,0),VLOOKUP(OB_Act[[#This Row],[Dump Truck]],Type_DT_OB[[Nama DT]:[Type]],4,0))</f>
        <v>#N/A</v>
      </c>
      <c r="Z70" s="126" t="e">
        <f>"JBG-OP1-CENTRAL-"&amp;VLOOKUP(OB_Act[[#This Row],[Pit]],$AK$2:$AL$9,2,0)&amp;"-WASTE-"&amp;OB_Act[[#This Row],[Material]]</f>
        <v>#N/A</v>
      </c>
      <c r="AA70" s="126" t="e">
        <f>"JBG-DUMP1-"&amp;VLOOKUP(OB_Act[[#This Row],[Dump]],$AF$2:$AG$55,2,0)&amp;"-"&amp;OB_Act[[#This Row],[Material]]</f>
        <v>#N/A</v>
      </c>
      <c r="AB70" s="126" t="str">
        <f>"JBG-"&amp;OB_Act[[#This Row],[Material]]</f>
        <v>JBG-</v>
      </c>
      <c r="BD70" s="105" t="str">
        <f>RIGHT(Type_DT_OB[[#This Row],[Nama DT]],3)</f>
        <v>611</v>
      </c>
      <c r="BE70" s="105" t="s">
        <v>456</v>
      </c>
      <c r="BF70" s="105">
        <v>14.5</v>
      </c>
      <c r="BG70" s="105">
        <v>9</v>
      </c>
      <c r="BH70" s="105" t="s">
        <v>384</v>
      </c>
      <c r="BI70" s="105" t="s">
        <v>385</v>
      </c>
      <c r="BK70" s="105" t="str">
        <f>RIGHT(Type_mud[[#This Row],[Nama DT]],3)</f>
        <v>611</v>
      </c>
      <c r="BL70" s="105" t="s">
        <v>456</v>
      </c>
      <c r="BM70" s="105" t="s">
        <v>580</v>
      </c>
    </row>
    <row r="71" spans="13:65">
      <c r="M71" s="105">
        <f>OB_Act[[#This Row],[Volume (BCM)]]*OB_Act[[#This Row],[Distance (Meter)]]</f>
        <v>0</v>
      </c>
      <c r="N71" s="105" t="str">
        <f>LEFT(OB_Act[[#This Row],[Dump Truck]],3)</f>
        <v/>
      </c>
      <c r="O71" s="126" t="str">
        <f>OB_Act[[#This Row],[Day]]&amp;OB_Act[[#This Row],[Excavator]]&amp;OB_Act[[#This Row],[Contractor]]&amp;OB_Act[[#This Row],[Pit]]&amp;OB_Act[[#This Row],[Shift]]</f>
        <v/>
      </c>
      <c r="P71" s="126">
        <f>1/COUNTIF(OB_Act[Dummy_Exc],OB_Act[[#This Row],[Dummy_Exc]])</f>
        <v>4.1841004184100415E-3</v>
      </c>
      <c r="Q71" s="105" t="str">
        <f>OB_Act[[#This Row],[Day]]&amp;OB_Act[[#This Row],[Dump Truck]]&amp;OB_Act[[#This Row],[Pit]]&amp;OB_Act[[#This Row],[Shift]]</f>
        <v/>
      </c>
      <c r="R71" s="126">
        <f>1/COUNTIF(OB_Act[Dummy_DT],OB_Act[[#This Row],[Dummy_DT]])</f>
        <v>4.1841004184100415E-3</v>
      </c>
      <c r="S71" s="126">
        <f>OB_Act[[#This Row],[Distance (Meter)]]*OB_Act[[#This Row],[Volume (BCM)]]</f>
        <v>0</v>
      </c>
      <c r="T71" s="105" t="str">
        <f>OB_Act[[#This Row],[Day]]&amp;OB_Act[[#This Row],[Dump Truck]]&amp;OB_Act[[#This Row],[Contractor]]&amp;OB_Act[[#This Row],[Excavator]]&amp;OB_Act[[#This Row],[Shift]]</f>
        <v/>
      </c>
      <c r="U71" s="126">
        <f>1/COUNTIF(OB_Act[Dummy_DT/Exc],OB_Act[[#This Row],[Dummy_DT/Exc]])</f>
        <v>4.1841004184100415E-3</v>
      </c>
      <c r="V71" s="126" t="e">
        <f>VLOOKUP(OB_Act[[#This Row],[Day]],$AO$2:$AR$32,4,0)</f>
        <v>#N/A</v>
      </c>
      <c r="W71" s="126" t="e">
        <f>VLOOKUP(OB_Act[[#This Row],[Dump Area]],$AE$2:$AF$51,2,0)</f>
        <v>#N/A</v>
      </c>
      <c r="X71" s="126" t="str">
        <f>OB_Act[[#This Row],[Excavator]]&amp;OB_Act[[#This Row],[Contractor]]</f>
        <v/>
      </c>
      <c r="Y71" s="126" t="e">
        <f>IF(OB_Act[[#This Row],[Material]]="MUD",VLOOKUP(OB_Act[[#This Row],[Dump Truck]],Type_mud[[Nama DT]:[Type]],2,0),VLOOKUP(OB_Act[[#This Row],[Dump Truck]],Type_DT_OB[[Nama DT]:[Type]],4,0))</f>
        <v>#N/A</v>
      </c>
      <c r="Z71" s="126" t="e">
        <f>"JBG-OP1-CENTRAL-"&amp;VLOOKUP(OB_Act[[#This Row],[Pit]],$AK$2:$AL$9,2,0)&amp;"-WASTE-"&amp;OB_Act[[#This Row],[Material]]</f>
        <v>#N/A</v>
      </c>
      <c r="AA71" s="126" t="e">
        <f>"JBG-DUMP1-"&amp;VLOOKUP(OB_Act[[#This Row],[Dump]],$AF$2:$AG$55,2,0)&amp;"-"&amp;OB_Act[[#This Row],[Material]]</f>
        <v>#N/A</v>
      </c>
      <c r="AB71" s="126" t="str">
        <f>"JBG-"&amp;OB_Act[[#This Row],[Material]]</f>
        <v>JBG-</v>
      </c>
      <c r="BD71" s="105" t="str">
        <f>RIGHT(Type_DT_OB[[#This Row],[Nama DT]],3)</f>
        <v>612</v>
      </c>
      <c r="BE71" s="105" t="s">
        <v>457</v>
      </c>
      <c r="BF71" s="105">
        <v>14.5</v>
      </c>
      <c r="BG71" s="105">
        <v>9</v>
      </c>
      <c r="BH71" s="105" t="s">
        <v>384</v>
      </c>
      <c r="BI71" s="105" t="s">
        <v>385</v>
      </c>
      <c r="BK71" s="105" t="str">
        <f>RIGHT(Type_mud[[#This Row],[Nama DT]],3)</f>
        <v>612</v>
      </c>
      <c r="BL71" s="105" t="s">
        <v>457</v>
      </c>
      <c r="BM71" s="105" t="s">
        <v>580</v>
      </c>
    </row>
    <row r="72" spans="13:65">
      <c r="M72" s="105">
        <f>OB_Act[[#This Row],[Volume (BCM)]]*OB_Act[[#This Row],[Distance (Meter)]]</f>
        <v>0</v>
      </c>
      <c r="N72" s="105" t="str">
        <f>LEFT(OB_Act[[#This Row],[Dump Truck]],3)</f>
        <v/>
      </c>
      <c r="O72" s="126" t="str">
        <f>OB_Act[[#This Row],[Day]]&amp;OB_Act[[#This Row],[Excavator]]&amp;OB_Act[[#This Row],[Contractor]]&amp;OB_Act[[#This Row],[Pit]]&amp;OB_Act[[#This Row],[Shift]]</f>
        <v/>
      </c>
      <c r="P72" s="126">
        <f>1/COUNTIF(OB_Act[Dummy_Exc],OB_Act[[#This Row],[Dummy_Exc]])</f>
        <v>4.1841004184100415E-3</v>
      </c>
      <c r="Q72" s="105" t="str">
        <f>OB_Act[[#This Row],[Day]]&amp;OB_Act[[#This Row],[Dump Truck]]&amp;OB_Act[[#This Row],[Pit]]&amp;OB_Act[[#This Row],[Shift]]</f>
        <v/>
      </c>
      <c r="R72" s="126">
        <f>1/COUNTIF(OB_Act[Dummy_DT],OB_Act[[#This Row],[Dummy_DT]])</f>
        <v>4.1841004184100415E-3</v>
      </c>
      <c r="S72" s="126">
        <f>OB_Act[[#This Row],[Distance (Meter)]]*OB_Act[[#This Row],[Volume (BCM)]]</f>
        <v>0</v>
      </c>
      <c r="T72" s="105" t="str">
        <f>OB_Act[[#This Row],[Day]]&amp;OB_Act[[#This Row],[Dump Truck]]&amp;OB_Act[[#This Row],[Contractor]]&amp;OB_Act[[#This Row],[Excavator]]&amp;OB_Act[[#This Row],[Shift]]</f>
        <v/>
      </c>
      <c r="U72" s="126">
        <f>1/COUNTIF(OB_Act[Dummy_DT/Exc],OB_Act[[#This Row],[Dummy_DT/Exc]])</f>
        <v>4.1841004184100415E-3</v>
      </c>
      <c r="V72" s="126" t="e">
        <f>VLOOKUP(OB_Act[[#This Row],[Day]],$AO$2:$AR$32,4,0)</f>
        <v>#N/A</v>
      </c>
      <c r="W72" s="126" t="e">
        <f>VLOOKUP(OB_Act[[#This Row],[Dump Area]],$AE$2:$AF$51,2,0)</f>
        <v>#N/A</v>
      </c>
      <c r="X72" s="126" t="str">
        <f>OB_Act[[#This Row],[Excavator]]&amp;OB_Act[[#This Row],[Contractor]]</f>
        <v/>
      </c>
      <c r="Y72" s="126" t="e">
        <f>IF(OB_Act[[#This Row],[Material]]="MUD",VLOOKUP(OB_Act[[#This Row],[Dump Truck]],Type_mud[[Nama DT]:[Type]],2,0),VLOOKUP(OB_Act[[#This Row],[Dump Truck]],Type_DT_OB[[Nama DT]:[Type]],4,0))</f>
        <v>#N/A</v>
      </c>
      <c r="Z72" s="126" t="e">
        <f>"JBG-OP1-CENTRAL-"&amp;VLOOKUP(OB_Act[[#This Row],[Pit]],$AK$2:$AL$9,2,0)&amp;"-WASTE-"&amp;OB_Act[[#This Row],[Material]]</f>
        <v>#N/A</v>
      </c>
      <c r="AA72" s="126" t="e">
        <f>"JBG-DUMP1-"&amp;VLOOKUP(OB_Act[[#This Row],[Dump]],$AF$2:$AG$55,2,0)&amp;"-"&amp;OB_Act[[#This Row],[Material]]</f>
        <v>#N/A</v>
      </c>
      <c r="AB72" s="126" t="str">
        <f>"JBG-"&amp;OB_Act[[#This Row],[Material]]</f>
        <v>JBG-</v>
      </c>
      <c r="BD72" s="105" t="str">
        <f>RIGHT(Type_DT_OB[[#This Row],[Nama DT]],3)</f>
        <v>613</v>
      </c>
      <c r="BE72" s="105" t="s">
        <v>458</v>
      </c>
      <c r="BF72" s="105">
        <v>14.5</v>
      </c>
      <c r="BG72" s="105">
        <v>9</v>
      </c>
      <c r="BH72" s="105" t="s">
        <v>384</v>
      </c>
      <c r="BI72" s="105" t="s">
        <v>385</v>
      </c>
      <c r="BK72" s="105" t="str">
        <f>RIGHT(Type_mud[[#This Row],[Nama DT]],3)</f>
        <v>613</v>
      </c>
      <c r="BL72" s="105" t="s">
        <v>458</v>
      </c>
      <c r="BM72" s="105" t="s">
        <v>580</v>
      </c>
    </row>
    <row r="73" spans="13:65">
      <c r="M73" s="105">
        <f>OB_Act[[#This Row],[Volume (BCM)]]*OB_Act[[#This Row],[Distance (Meter)]]</f>
        <v>0</v>
      </c>
      <c r="N73" s="105" t="str">
        <f>LEFT(OB_Act[[#This Row],[Dump Truck]],3)</f>
        <v/>
      </c>
      <c r="O73" s="126" t="str">
        <f>OB_Act[[#This Row],[Day]]&amp;OB_Act[[#This Row],[Excavator]]&amp;OB_Act[[#This Row],[Contractor]]&amp;OB_Act[[#This Row],[Pit]]&amp;OB_Act[[#This Row],[Shift]]</f>
        <v/>
      </c>
      <c r="P73" s="126">
        <f>1/COUNTIF(OB_Act[Dummy_Exc],OB_Act[[#This Row],[Dummy_Exc]])</f>
        <v>4.1841004184100415E-3</v>
      </c>
      <c r="Q73" s="105" t="str">
        <f>OB_Act[[#This Row],[Day]]&amp;OB_Act[[#This Row],[Dump Truck]]&amp;OB_Act[[#This Row],[Pit]]&amp;OB_Act[[#This Row],[Shift]]</f>
        <v/>
      </c>
      <c r="R73" s="126">
        <f>1/COUNTIF(OB_Act[Dummy_DT],OB_Act[[#This Row],[Dummy_DT]])</f>
        <v>4.1841004184100415E-3</v>
      </c>
      <c r="S73" s="126">
        <f>OB_Act[[#This Row],[Distance (Meter)]]*OB_Act[[#This Row],[Volume (BCM)]]</f>
        <v>0</v>
      </c>
      <c r="T73" s="105" t="str">
        <f>OB_Act[[#This Row],[Day]]&amp;OB_Act[[#This Row],[Dump Truck]]&amp;OB_Act[[#This Row],[Contractor]]&amp;OB_Act[[#This Row],[Excavator]]&amp;OB_Act[[#This Row],[Shift]]</f>
        <v/>
      </c>
      <c r="U73" s="126">
        <f>1/COUNTIF(OB_Act[Dummy_DT/Exc],OB_Act[[#This Row],[Dummy_DT/Exc]])</f>
        <v>4.1841004184100415E-3</v>
      </c>
      <c r="V73" s="126" t="e">
        <f>VLOOKUP(OB_Act[[#This Row],[Day]],$AO$2:$AR$32,4,0)</f>
        <v>#N/A</v>
      </c>
      <c r="W73" s="126" t="e">
        <f>VLOOKUP(OB_Act[[#This Row],[Dump Area]],$AE$2:$AF$51,2,0)</f>
        <v>#N/A</v>
      </c>
      <c r="X73" s="126" t="str">
        <f>OB_Act[[#This Row],[Excavator]]&amp;OB_Act[[#This Row],[Contractor]]</f>
        <v/>
      </c>
      <c r="Y73" s="126" t="e">
        <f>IF(OB_Act[[#This Row],[Material]]="MUD",VLOOKUP(OB_Act[[#This Row],[Dump Truck]],Type_mud[[Nama DT]:[Type]],2,0),VLOOKUP(OB_Act[[#This Row],[Dump Truck]],Type_DT_OB[[Nama DT]:[Type]],4,0))</f>
        <v>#N/A</v>
      </c>
      <c r="Z73" s="126" t="e">
        <f>"JBG-OP1-CENTRAL-"&amp;VLOOKUP(OB_Act[[#This Row],[Pit]],$AK$2:$AL$9,2,0)&amp;"-WASTE-"&amp;OB_Act[[#This Row],[Material]]</f>
        <v>#N/A</v>
      </c>
      <c r="AA73" s="126" t="e">
        <f>"JBG-DUMP1-"&amp;VLOOKUP(OB_Act[[#This Row],[Dump]],$AF$2:$AG$55,2,0)&amp;"-"&amp;OB_Act[[#This Row],[Material]]</f>
        <v>#N/A</v>
      </c>
      <c r="AB73" s="126" t="str">
        <f>"JBG-"&amp;OB_Act[[#This Row],[Material]]</f>
        <v>JBG-</v>
      </c>
      <c r="BD73" s="105" t="str">
        <f>RIGHT(Type_DT_OB[[#This Row],[Nama DT]],3)</f>
        <v>614</v>
      </c>
      <c r="BE73" s="105" t="s">
        <v>459</v>
      </c>
      <c r="BF73" s="105">
        <v>14.5</v>
      </c>
      <c r="BG73" s="105">
        <v>9</v>
      </c>
      <c r="BH73" s="105" t="s">
        <v>384</v>
      </c>
      <c r="BI73" s="105" t="s">
        <v>385</v>
      </c>
      <c r="BK73" s="105" t="str">
        <f>RIGHT(Type_mud[[#This Row],[Nama DT]],3)</f>
        <v>614</v>
      </c>
      <c r="BL73" s="105" t="s">
        <v>459</v>
      </c>
      <c r="BM73" s="105" t="s">
        <v>580</v>
      </c>
    </row>
    <row r="74" spans="13:65">
      <c r="M74" s="105">
        <f>OB_Act[[#This Row],[Volume (BCM)]]*OB_Act[[#This Row],[Distance (Meter)]]</f>
        <v>0</v>
      </c>
      <c r="N74" s="105" t="str">
        <f>LEFT(OB_Act[[#This Row],[Dump Truck]],3)</f>
        <v/>
      </c>
      <c r="O74" s="126" t="str">
        <f>OB_Act[[#This Row],[Day]]&amp;OB_Act[[#This Row],[Excavator]]&amp;OB_Act[[#This Row],[Contractor]]&amp;OB_Act[[#This Row],[Pit]]&amp;OB_Act[[#This Row],[Shift]]</f>
        <v/>
      </c>
      <c r="P74" s="126">
        <f>1/COUNTIF(OB_Act[Dummy_Exc],OB_Act[[#This Row],[Dummy_Exc]])</f>
        <v>4.1841004184100415E-3</v>
      </c>
      <c r="Q74" s="105" t="str">
        <f>OB_Act[[#This Row],[Day]]&amp;OB_Act[[#This Row],[Dump Truck]]&amp;OB_Act[[#This Row],[Pit]]&amp;OB_Act[[#This Row],[Shift]]</f>
        <v/>
      </c>
      <c r="R74" s="126">
        <f>1/COUNTIF(OB_Act[Dummy_DT],OB_Act[[#This Row],[Dummy_DT]])</f>
        <v>4.1841004184100415E-3</v>
      </c>
      <c r="S74" s="126">
        <f>OB_Act[[#This Row],[Distance (Meter)]]*OB_Act[[#This Row],[Volume (BCM)]]</f>
        <v>0</v>
      </c>
      <c r="T74" s="105" t="str">
        <f>OB_Act[[#This Row],[Day]]&amp;OB_Act[[#This Row],[Dump Truck]]&amp;OB_Act[[#This Row],[Contractor]]&amp;OB_Act[[#This Row],[Excavator]]&amp;OB_Act[[#This Row],[Shift]]</f>
        <v/>
      </c>
      <c r="U74" s="126">
        <f>1/COUNTIF(OB_Act[Dummy_DT/Exc],OB_Act[[#This Row],[Dummy_DT/Exc]])</f>
        <v>4.1841004184100415E-3</v>
      </c>
      <c r="V74" s="126" t="e">
        <f>VLOOKUP(OB_Act[[#This Row],[Day]],$AO$2:$AR$32,4,0)</f>
        <v>#N/A</v>
      </c>
      <c r="W74" s="126" t="e">
        <f>VLOOKUP(OB_Act[[#This Row],[Dump Area]],$AE$2:$AF$51,2,0)</f>
        <v>#N/A</v>
      </c>
      <c r="X74" s="126" t="str">
        <f>OB_Act[[#This Row],[Excavator]]&amp;OB_Act[[#This Row],[Contractor]]</f>
        <v/>
      </c>
      <c r="Y74" s="126" t="e">
        <f>IF(OB_Act[[#This Row],[Material]]="MUD",VLOOKUP(OB_Act[[#This Row],[Dump Truck]],Type_mud[[Nama DT]:[Type]],2,0),VLOOKUP(OB_Act[[#This Row],[Dump Truck]],Type_DT_OB[[Nama DT]:[Type]],4,0))</f>
        <v>#N/A</v>
      </c>
      <c r="Z74" s="126" t="e">
        <f>"JBG-OP1-CENTRAL-"&amp;VLOOKUP(OB_Act[[#This Row],[Pit]],$AK$2:$AL$9,2,0)&amp;"-WASTE-"&amp;OB_Act[[#This Row],[Material]]</f>
        <v>#N/A</v>
      </c>
      <c r="AA74" s="126" t="e">
        <f>"JBG-DUMP1-"&amp;VLOOKUP(OB_Act[[#This Row],[Dump]],$AF$2:$AG$55,2,0)&amp;"-"&amp;OB_Act[[#This Row],[Material]]</f>
        <v>#N/A</v>
      </c>
      <c r="AB74" s="126" t="str">
        <f>"JBG-"&amp;OB_Act[[#This Row],[Material]]</f>
        <v>JBG-</v>
      </c>
      <c r="BD74" s="105" t="str">
        <f>RIGHT(Type_DT_OB[[#This Row],[Nama DT]],3)</f>
        <v>615</v>
      </c>
      <c r="BE74" s="105" t="s">
        <v>460</v>
      </c>
      <c r="BF74" s="105">
        <v>14.5</v>
      </c>
      <c r="BG74" s="105">
        <v>9</v>
      </c>
      <c r="BH74" s="105" t="s">
        <v>384</v>
      </c>
      <c r="BI74" s="105" t="s">
        <v>385</v>
      </c>
      <c r="BK74" s="105" t="str">
        <f>RIGHT(Type_mud[[#This Row],[Nama DT]],3)</f>
        <v>615</v>
      </c>
      <c r="BL74" s="105" t="s">
        <v>460</v>
      </c>
      <c r="BM74" s="105" t="s">
        <v>580</v>
      </c>
    </row>
    <row r="75" spans="13:65">
      <c r="M75" s="105">
        <f>OB_Act[[#This Row],[Volume (BCM)]]*OB_Act[[#This Row],[Distance (Meter)]]</f>
        <v>0</v>
      </c>
      <c r="N75" s="105" t="str">
        <f>LEFT(OB_Act[[#This Row],[Dump Truck]],3)</f>
        <v/>
      </c>
      <c r="O75" s="126" t="str">
        <f>OB_Act[[#This Row],[Day]]&amp;OB_Act[[#This Row],[Excavator]]&amp;OB_Act[[#This Row],[Contractor]]&amp;OB_Act[[#This Row],[Pit]]&amp;OB_Act[[#This Row],[Shift]]</f>
        <v/>
      </c>
      <c r="P75" s="126">
        <f>1/COUNTIF(OB_Act[Dummy_Exc],OB_Act[[#This Row],[Dummy_Exc]])</f>
        <v>4.1841004184100415E-3</v>
      </c>
      <c r="Q75" s="105" t="str">
        <f>OB_Act[[#This Row],[Day]]&amp;OB_Act[[#This Row],[Dump Truck]]&amp;OB_Act[[#This Row],[Pit]]&amp;OB_Act[[#This Row],[Shift]]</f>
        <v/>
      </c>
      <c r="R75" s="126">
        <f>1/COUNTIF(OB_Act[Dummy_DT],OB_Act[[#This Row],[Dummy_DT]])</f>
        <v>4.1841004184100415E-3</v>
      </c>
      <c r="S75" s="126">
        <f>OB_Act[[#This Row],[Distance (Meter)]]*OB_Act[[#This Row],[Volume (BCM)]]</f>
        <v>0</v>
      </c>
      <c r="T75" s="105" t="str">
        <f>OB_Act[[#This Row],[Day]]&amp;OB_Act[[#This Row],[Dump Truck]]&amp;OB_Act[[#This Row],[Contractor]]&amp;OB_Act[[#This Row],[Excavator]]&amp;OB_Act[[#This Row],[Shift]]</f>
        <v/>
      </c>
      <c r="U75" s="126">
        <f>1/COUNTIF(OB_Act[Dummy_DT/Exc],OB_Act[[#This Row],[Dummy_DT/Exc]])</f>
        <v>4.1841004184100415E-3</v>
      </c>
      <c r="V75" s="126" t="e">
        <f>VLOOKUP(OB_Act[[#This Row],[Day]],$AO$2:$AR$32,4,0)</f>
        <v>#N/A</v>
      </c>
      <c r="W75" s="126" t="e">
        <f>VLOOKUP(OB_Act[[#This Row],[Dump Area]],$AE$2:$AF$51,2,0)</f>
        <v>#N/A</v>
      </c>
      <c r="X75" s="126" t="str">
        <f>OB_Act[[#This Row],[Excavator]]&amp;OB_Act[[#This Row],[Contractor]]</f>
        <v/>
      </c>
      <c r="Y75" s="126" t="e">
        <f>IF(OB_Act[[#This Row],[Material]]="MUD",VLOOKUP(OB_Act[[#This Row],[Dump Truck]],Type_mud[[Nama DT]:[Type]],2,0),VLOOKUP(OB_Act[[#This Row],[Dump Truck]],Type_DT_OB[[Nama DT]:[Type]],4,0))</f>
        <v>#N/A</v>
      </c>
      <c r="Z75" s="126" t="e">
        <f>"JBG-OP1-CENTRAL-"&amp;VLOOKUP(OB_Act[[#This Row],[Pit]],$AK$2:$AL$9,2,0)&amp;"-WASTE-"&amp;OB_Act[[#This Row],[Material]]</f>
        <v>#N/A</v>
      </c>
      <c r="AA75" s="126" t="e">
        <f>"JBG-DUMP1-"&amp;VLOOKUP(OB_Act[[#This Row],[Dump]],$AF$2:$AG$55,2,0)&amp;"-"&amp;OB_Act[[#This Row],[Material]]</f>
        <v>#N/A</v>
      </c>
      <c r="AB75" s="126" t="str">
        <f>"JBG-"&amp;OB_Act[[#This Row],[Material]]</f>
        <v>JBG-</v>
      </c>
      <c r="BD75" s="105" t="str">
        <f>RIGHT(Type_DT_OB[[#This Row],[Nama DT]],3)</f>
        <v>616</v>
      </c>
      <c r="BE75" s="105" t="s">
        <v>461</v>
      </c>
      <c r="BF75" s="105">
        <v>14.5</v>
      </c>
      <c r="BG75" s="105">
        <v>9</v>
      </c>
      <c r="BH75" s="105" t="s">
        <v>384</v>
      </c>
      <c r="BI75" s="105" t="s">
        <v>385</v>
      </c>
      <c r="BK75" s="105" t="str">
        <f>RIGHT(Type_mud[[#This Row],[Nama DT]],3)</f>
        <v>616</v>
      </c>
      <c r="BL75" s="105" t="s">
        <v>461</v>
      </c>
      <c r="BM75" s="105" t="s">
        <v>580</v>
      </c>
    </row>
    <row r="76" spans="13:65">
      <c r="M76" s="105">
        <f>OB_Act[[#This Row],[Volume (BCM)]]*OB_Act[[#This Row],[Distance (Meter)]]</f>
        <v>0</v>
      </c>
      <c r="N76" s="105" t="str">
        <f>LEFT(OB_Act[[#This Row],[Dump Truck]],3)</f>
        <v/>
      </c>
      <c r="O76" s="126" t="str">
        <f>OB_Act[[#This Row],[Day]]&amp;OB_Act[[#This Row],[Excavator]]&amp;OB_Act[[#This Row],[Contractor]]&amp;OB_Act[[#This Row],[Pit]]&amp;OB_Act[[#This Row],[Shift]]</f>
        <v/>
      </c>
      <c r="P76" s="126">
        <f>1/COUNTIF(OB_Act[Dummy_Exc],OB_Act[[#This Row],[Dummy_Exc]])</f>
        <v>4.1841004184100415E-3</v>
      </c>
      <c r="Q76" s="105" t="str">
        <f>OB_Act[[#This Row],[Day]]&amp;OB_Act[[#This Row],[Dump Truck]]&amp;OB_Act[[#This Row],[Pit]]&amp;OB_Act[[#This Row],[Shift]]</f>
        <v/>
      </c>
      <c r="R76" s="126">
        <f>1/COUNTIF(OB_Act[Dummy_DT],OB_Act[[#This Row],[Dummy_DT]])</f>
        <v>4.1841004184100415E-3</v>
      </c>
      <c r="S76" s="126">
        <f>OB_Act[[#This Row],[Distance (Meter)]]*OB_Act[[#This Row],[Volume (BCM)]]</f>
        <v>0</v>
      </c>
      <c r="T76" s="105" t="str">
        <f>OB_Act[[#This Row],[Day]]&amp;OB_Act[[#This Row],[Dump Truck]]&amp;OB_Act[[#This Row],[Contractor]]&amp;OB_Act[[#This Row],[Excavator]]&amp;OB_Act[[#This Row],[Shift]]</f>
        <v/>
      </c>
      <c r="U76" s="126">
        <f>1/COUNTIF(OB_Act[Dummy_DT/Exc],OB_Act[[#This Row],[Dummy_DT/Exc]])</f>
        <v>4.1841004184100415E-3</v>
      </c>
      <c r="V76" s="126" t="e">
        <f>VLOOKUP(OB_Act[[#This Row],[Day]],$AO$2:$AR$32,4,0)</f>
        <v>#N/A</v>
      </c>
      <c r="W76" s="126" t="e">
        <f>VLOOKUP(OB_Act[[#This Row],[Dump Area]],$AE$2:$AF$51,2,0)</f>
        <v>#N/A</v>
      </c>
      <c r="X76" s="126" t="str">
        <f>OB_Act[[#This Row],[Excavator]]&amp;OB_Act[[#This Row],[Contractor]]</f>
        <v/>
      </c>
      <c r="Y76" s="126" t="e">
        <f>IF(OB_Act[[#This Row],[Material]]="MUD",VLOOKUP(OB_Act[[#This Row],[Dump Truck]],Type_mud[[Nama DT]:[Type]],2,0),VLOOKUP(OB_Act[[#This Row],[Dump Truck]],Type_DT_OB[[Nama DT]:[Type]],4,0))</f>
        <v>#N/A</v>
      </c>
      <c r="Z76" s="126" t="e">
        <f>"JBG-OP1-CENTRAL-"&amp;VLOOKUP(OB_Act[[#This Row],[Pit]],$AK$2:$AL$9,2,0)&amp;"-WASTE-"&amp;OB_Act[[#This Row],[Material]]</f>
        <v>#N/A</v>
      </c>
      <c r="AA76" s="126" t="e">
        <f>"JBG-DUMP1-"&amp;VLOOKUP(OB_Act[[#This Row],[Dump]],$AF$2:$AG$55,2,0)&amp;"-"&amp;OB_Act[[#This Row],[Material]]</f>
        <v>#N/A</v>
      </c>
      <c r="AB76" s="126" t="str">
        <f>"JBG-"&amp;OB_Act[[#This Row],[Material]]</f>
        <v>JBG-</v>
      </c>
      <c r="BD76" s="105" t="str">
        <f>RIGHT(Type_DT_OB[[#This Row],[Nama DT]],3)</f>
        <v>617</v>
      </c>
      <c r="BE76" s="105" t="s">
        <v>462</v>
      </c>
      <c r="BF76" s="105">
        <v>14.5</v>
      </c>
      <c r="BG76" s="105">
        <v>9</v>
      </c>
      <c r="BH76" s="105" t="s">
        <v>384</v>
      </c>
      <c r="BI76" s="105" t="s">
        <v>385</v>
      </c>
      <c r="BK76" s="105" t="str">
        <f>RIGHT(Type_mud[[#This Row],[Nama DT]],3)</f>
        <v>617</v>
      </c>
      <c r="BL76" s="105" t="s">
        <v>462</v>
      </c>
      <c r="BM76" s="105" t="s">
        <v>580</v>
      </c>
    </row>
    <row r="77" spans="13:65">
      <c r="M77" s="105">
        <f>OB_Act[[#This Row],[Volume (BCM)]]*OB_Act[[#This Row],[Distance (Meter)]]</f>
        <v>0</v>
      </c>
      <c r="N77" s="105" t="str">
        <f>LEFT(OB_Act[[#This Row],[Dump Truck]],3)</f>
        <v/>
      </c>
      <c r="O77" s="126" t="str">
        <f>OB_Act[[#This Row],[Day]]&amp;OB_Act[[#This Row],[Excavator]]&amp;OB_Act[[#This Row],[Contractor]]&amp;OB_Act[[#This Row],[Pit]]&amp;OB_Act[[#This Row],[Shift]]</f>
        <v/>
      </c>
      <c r="P77" s="126">
        <f>1/COUNTIF(OB_Act[Dummy_Exc],OB_Act[[#This Row],[Dummy_Exc]])</f>
        <v>4.1841004184100415E-3</v>
      </c>
      <c r="Q77" s="105" t="str">
        <f>OB_Act[[#This Row],[Day]]&amp;OB_Act[[#This Row],[Dump Truck]]&amp;OB_Act[[#This Row],[Pit]]&amp;OB_Act[[#This Row],[Shift]]</f>
        <v/>
      </c>
      <c r="R77" s="126">
        <f>1/COUNTIF(OB_Act[Dummy_DT],OB_Act[[#This Row],[Dummy_DT]])</f>
        <v>4.1841004184100415E-3</v>
      </c>
      <c r="S77" s="126">
        <f>OB_Act[[#This Row],[Distance (Meter)]]*OB_Act[[#This Row],[Volume (BCM)]]</f>
        <v>0</v>
      </c>
      <c r="T77" s="105" t="str">
        <f>OB_Act[[#This Row],[Day]]&amp;OB_Act[[#This Row],[Dump Truck]]&amp;OB_Act[[#This Row],[Contractor]]&amp;OB_Act[[#This Row],[Excavator]]&amp;OB_Act[[#This Row],[Shift]]</f>
        <v/>
      </c>
      <c r="U77" s="126">
        <f>1/COUNTIF(OB_Act[Dummy_DT/Exc],OB_Act[[#This Row],[Dummy_DT/Exc]])</f>
        <v>4.1841004184100415E-3</v>
      </c>
      <c r="V77" s="126" t="e">
        <f>VLOOKUP(OB_Act[[#This Row],[Day]],$AO$2:$AR$32,4,0)</f>
        <v>#N/A</v>
      </c>
      <c r="W77" s="126" t="e">
        <f>VLOOKUP(OB_Act[[#This Row],[Dump Area]],$AE$2:$AF$51,2,0)</f>
        <v>#N/A</v>
      </c>
      <c r="X77" s="126" t="str">
        <f>OB_Act[[#This Row],[Excavator]]&amp;OB_Act[[#This Row],[Contractor]]</f>
        <v/>
      </c>
      <c r="Y77" s="126" t="e">
        <f>IF(OB_Act[[#This Row],[Material]]="MUD",VLOOKUP(OB_Act[[#This Row],[Dump Truck]],Type_mud[[Nama DT]:[Type]],2,0),VLOOKUP(OB_Act[[#This Row],[Dump Truck]],Type_DT_OB[[Nama DT]:[Type]],4,0))</f>
        <v>#N/A</v>
      </c>
      <c r="Z77" s="126" t="e">
        <f>"JBG-OP1-CENTRAL-"&amp;VLOOKUP(OB_Act[[#This Row],[Pit]],$AK$2:$AL$9,2,0)&amp;"-WASTE-"&amp;OB_Act[[#This Row],[Material]]</f>
        <v>#N/A</v>
      </c>
      <c r="AA77" s="126" t="e">
        <f>"JBG-DUMP1-"&amp;VLOOKUP(OB_Act[[#This Row],[Dump]],$AF$2:$AG$55,2,0)&amp;"-"&amp;OB_Act[[#This Row],[Material]]</f>
        <v>#N/A</v>
      </c>
      <c r="AB77" s="126" t="str">
        <f>"JBG-"&amp;OB_Act[[#This Row],[Material]]</f>
        <v>JBG-</v>
      </c>
      <c r="BD77" s="105" t="str">
        <f>RIGHT(Type_DT_OB[[#This Row],[Nama DT]],3)</f>
        <v>618</v>
      </c>
      <c r="BE77" s="105" t="s">
        <v>463</v>
      </c>
      <c r="BF77" s="105">
        <v>14.5</v>
      </c>
      <c r="BG77" s="105">
        <v>9</v>
      </c>
      <c r="BH77" s="105" t="s">
        <v>384</v>
      </c>
      <c r="BI77" s="105" t="s">
        <v>385</v>
      </c>
      <c r="BK77" s="105" t="str">
        <f>RIGHT(Type_mud[[#This Row],[Nama DT]],3)</f>
        <v>618</v>
      </c>
      <c r="BL77" s="105" t="s">
        <v>463</v>
      </c>
      <c r="BM77" s="105" t="s">
        <v>580</v>
      </c>
    </row>
    <row r="78" spans="13:65">
      <c r="M78" s="105">
        <f>OB_Act[[#This Row],[Volume (BCM)]]*OB_Act[[#This Row],[Distance (Meter)]]</f>
        <v>0</v>
      </c>
      <c r="N78" s="105" t="str">
        <f>LEFT(OB_Act[[#This Row],[Dump Truck]],3)</f>
        <v/>
      </c>
      <c r="O78" s="126" t="str">
        <f>OB_Act[[#This Row],[Day]]&amp;OB_Act[[#This Row],[Excavator]]&amp;OB_Act[[#This Row],[Contractor]]&amp;OB_Act[[#This Row],[Pit]]&amp;OB_Act[[#This Row],[Shift]]</f>
        <v/>
      </c>
      <c r="P78" s="126">
        <f>1/COUNTIF(OB_Act[Dummy_Exc],OB_Act[[#This Row],[Dummy_Exc]])</f>
        <v>4.1841004184100415E-3</v>
      </c>
      <c r="Q78" s="105" t="str">
        <f>OB_Act[[#This Row],[Day]]&amp;OB_Act[[#This Row],[Dump Truck]]&amp;OB_Act[[#This Row],[Pit]]&amp;OB_Act[[#This Row],[Shift]]</f>
        <v/>
      </c>
      <c r="R78" s="126">
        <f>1/COUNTIF(OB_Act[Dummy_DT],OB_Act[[#This Row],[Dummy_DT]])</f>
        <v>4.1841004184100415E-3</v>
      </c>
      <c r="S78" s="126">
        <f>OB_Act[[#This Row],[Distance (Meter)]]*OB_Act[[#This Row],[Volume (BCM)]]</f>
        <v>0</v>
      </c>
      <c r="T78" s="105" t="str">
        <f>OB_Act[[#This Row],[Day]]&amp;OB_Act[[#This Row],[Dump Truck]]&amp;OB_Act[[#This Row],[Contractor]]&amp;OB_Act[[#This Row],[Excavator]]&amp;OB_Act[[#This Row],[Shift]]</f>
        <v/>
      </c>
      <c r="U78" s="126">
        <f>1/COUNTIF(OB_Act[Dummy_DT/Exc],OB_Act[[#This Row],[Dummy_DT/Exc]])</f>
        <v>4.1841004184100415E-3</v>
      </c>
      <c r="V78" s="126" t="e">
        <f>VLOOKUP(OB_Act[[#This Row],[Day]],$AO$2:$AR$32,4,0)</f>
        <v>#N/A</v>
      </c>
      <c r="W78" s="126" t="e">
        <f>VLOOKUP(OB_Act[[#This Row],[Dump Area]],$AE$2:$AF$51,2,0)</f>
        <v>#N/A</v>
      </c>
      <c r="X78" s="126" t="str">
        <f>OB_Act[[#This Row],[Excavator]]&amp;OB_Act[[#This Row],[Contractor]]</f>
        <v/>
      </c>
      <c r="Y78" s="126" t="e">
        <f>IF(OB_Act[[#This Row],[Material]]="MUD",VLOOKUP(OB_Act[[#This Row],[Dump Truck]],Type_mud[[Nama DT]:[Type]],2,0),VLOOKUP(OB_Act[[#This Row],[Dump Truck]],Type_DT_OB[[Nama DT]:[Type]],4,0))</f>
        <v>#N/A</v>
      </c>
      <c r="Z78" s="126" t="e">
        <f>"JBG-OP1-CENTRAL-"&amp;VLOOKUP(OB_Act[[#This Row],[Pit]],$AK$2:$AL$9,2,0)&amp;"-WASTE-"&amp;OB_Act[[#This Row],[Material]]</f>
        <v>#N/A</v>
      </c>
      <c r="AA78" s="126" t="e">
        <f>"JBG-DUMP1-"&amp;VLOOKUP(OB_Act[[#This Row],[Dump]],$AF$2:$AG$55,2,0)&amp;"-"&amp;OB_Act[[#This Row],[Material]]</f>
        <v>#N/A</v>
      </c>
      <c r="AB78" s="126" t="str">
        <f>"JBG-"&amp;OB_Act[[#This Row],[Material]]</f>
        <v>JBG-</v>
      </c>
      <c r="BD78" s="105" t="str">
        <f>RIGHT(Type_DT_OB[[#This Row],[Nama DT]],3)</f>
        <v>619</v>
      </c>
      <c r="BE78" s="105" t="s">
        <v>464</v>
      </c>
      <c r="BF78" s="105">
        <v>14.5</v>
      </c>
      <c r="BG78" s="105">
        <v>9</v>
      </c>
      <c r="BH78" s="105" t="s">
        <v>384</v>
      </c>
      <c r="BI78" s="105" t="s">
        <v>385</v>
      </c>
      <c r="BK78" s="105" t="str">
        <f>RIGHT(Type_mud[[#This Row],[Nama DT]],3)</f>
        <v>619</v>
      </c>
      <c r="BL78" s="105" t="s">
        <v>464</v>
      </c>
      <c r="BM78" s="105" t="s">
        <v>580</v>
      </c>
    </row>
    <row r="79" spans="13:65">
      <c r="M79" s="105">
        <f>OB_Act[[#This Row],[Volume (BCM)]]*OB_Act[[#This Row],[Distance (Meter)]]</f>
        <v>0</v>
      </c>
      <c r="N79" s="105" t="str">
        <f>LEFT(OB_Act[[#This Row],[Dump Truck]],3)</f>
        <v/>
      </c>
      <c r="O79" s="126" t="str">
        <f>OB_Act[[#This Row],[Day]]&amp;OB_Act[[#This Row],[Excavator]]&amp;OB_Act[[#This Row],[Contractor]]&amp;OB_Act[[#This Row],[Pit]]&amp;OB_Act[[#This Row],[Shift]]</f>
        <v/>
      </c>
      <c r="P79" s="126">
        <f>1/COUNTIF(OB_Act[Dummy_Exc],OB_Act[[#This Row],[Dummy_Exc]])</f>
        <v>4.1841004184100415E-3</v>
      </c>
      <c r="Q79" s="105" t="str">
        <f>OB_Act[[#This Row],[Day]]&amp;OB_Act[[#This Row],[Dump Truck]]&amp;OB_Act[[#This Row],[Pit]]&amp;OB_Act[[#This Row],[Shift]]</f>
        <v/>
      </c>
      <c r="R79" s="126">
        <f>1/COUNTIF(OB_Act[Dummy_DT],OB_Act[[#This Row],[Dummy_DT]])</f>
        <v>4.1841004184100415E-3</v>
      </c>
      <c r="S79" s="126">
        <f>OB_Act[[#This Row],[Distance (Meter)]]*OB_Act[[#This Row],[Volume (BCM)]]</f>
        <v>0</v>
      </c>
      <c r="T79" s="105" t="str">
        <f>OB_Act[[#This Row],[Day]]&amp;OB_Act[[#This Row],[Dump Truck]]&amp;OB_Act[[#This Row],[Contractor]]&amp;OB_Act[[#This Row],[Excavator]]&amp;OB_Act[[#This Row],[Shift]]</f>
        <v/>
      </c>
      <c r="U79" s="126">
        <f>1/COUNTIF(OB_Act[Dummy_DT/Exc],OB_Act[[#This Row],[Dummy_DT/Exc]])</f>
        <v>4.1841004184100415E-3</v>
      </c>
      <c r="V79" s="126" t="e">
        <f>VLOOKUP(OB_Act[[#This Row],[Day]],$AO$2:$AR$32,4,0)</f>
        <v>#N/A</v>
      </c>
      <c r="W79" s="126" t="e">
        <f>VLOOKUP(OB_Act[[#This Row],[Dump Area]],$AE$2:$AF$51,2,0)</f>
        <v>#N/A</v>
      </c>
      <c r="X79" s="126" t="str">
        <f>OB_Act[[#This Row],[Excavator]]&amp;OB_Act[[#This Row],[Contractor]]</f>
        <v/>
      </c>
      <c r="Y79" s="126" t="e">
        <f>IF(OB_Act[[#This Row],[Material]]="MUD",VLOOKUP(OB_Act[[#This Row],[Dump Truck]],Type_mud[[Nama DT]:[Type]],2,0),VLOOKUP(OB_Act[[#This Row],[Dump Truck]],Type_DT_OB[[Nama DT]:[Type]],4,0))</f>
        <v>#N/A</v>
      </c>
      <c r="Z79" s="126" t="e">
        <f>"JBG-OP1-CENTRAL-"&amp;VLOOKUP(OB_Act[[#This Row],[Pit]],$AK$2:$AL$9,2,0)&amp;"-WASTE-"&amp;OB_Act[[#This Row],[Material]]</f>
        <v>#N/A</v>
      </c>
      <c r="AA79" s="126" t="e">
        <f>"JBG-DUMP1-"&amp;VLOOKUP(OB_Act[[#This Row],[Dump]],$AF$2:$AG$55,2,0)&amp;"-"&amp;OB_Act[[#This Row],[Material]]</f>
        <v>#N/A</v>
      </c>
      <c r="AB79" s="126" t="str">
        <f>"JBG-"&amp;OB_Act[[#This Row],[Material]]</f>
        <v>JBG-</v>
      </c>
      <c r="BD79" s="105" t="str">
        <f>RIGHT(Type_DT_OB[[#This Row],[Nama DT]],3)</f>
        <v>620</v>
      </c>
      <c r="BE79" s="105" t="s">
        <v>465</v>
      </c>
      <c r="BF79" s="105">
        <v>14.5</v>
      </c>
      <c r="BG79" s="105">
        <v>9</v>
      </c>
      <c r="BH79" s="105" t="s">
        <v>384</v>
      </c>
      <c r="BI79" s="105" t="s">
        <v>385</v>
      </c>
      <c r="BK79" s="105" t="str">
        <f>RIGHT(Type_mud[[#This Row],[Nama DT]],3)</f>
        <v>620</v>
      </c>
      <c r="BL79" s="105" t="s">
        <v>465</v>
      </c>
      <c r="BM79" s="105" t="s">
        <v>580</v>
      </c>
    </row>
    <row r="80" spans="13:65">
      <c r="M80" s="105">
        <f>OB_Act[[#This Row],[Volume (BCM)]]*OB_Act[[#This Row],[Distance (Meter)]]</f>
        <v>0</v>
      </c>
      <c r="N80" s="105" t="str">
        <f>LEFT(OB_Act[[#This Row],[Dump Truck]],3)</f>
        <v/>
      </c>
      <c r="O80" s="126" t="str">
        <f>OB_Act[[#This Row],[Day]]&amp;OB_Act[[#This Row],[Excavator]]&amp;OB_Act[[#This Row],[Contractor]]&amp;OB_Act[[#This Row],[Pit]]&amp;OB_Act[[#This Row],[Shift]]</f>
        <v/>
      </c>
      <c r="P80" s="126">
        <f>1/COUNTIF(OB_Act[Dummy_Exc],OB_Act[[#This Row],[Dummy_Exc]])</f>
        <v>4.1841004184100415E-3</v>
      </c>
      <c r="Q80" s="105" t="str">
        <f>OB_Act[[#This Row],[Day]]&amp;OB_Act[[#This Row],[Dump Truck]]&amp;OB_Act[[#This Row],[Pit]]&amp;OB_Act[[#This Row],[Shift]]</f>
        <v/>
      </c>
      <c r="R80" s="126">
        <f>1/COUNTIF(OB_Act[Dummy_DT],OB_Act[[#This Row],[Dummy_DT]])</f>
        <v>4.1841004184100415E-3</v>
      </c>
      <c r="S80" s="126">
        <f>OB_Act[[#This Row],[Distance (Meter)]]*OB_Act[[#This Row],[Volume (BCM)]]</f>
        <v>0</v>
      </c>
      <c r="T80" s="105" t="str">
        <f>OB_Act[[#This Row],[Day]]&amp;OB_Act[[#This Row],[Dump Truck]]&amp;OB_Act[[#This Row],[Contractor]]&amp;OB_Act[[#This Row],[Excavator]]&amp;OB_Act[[#This Row],[Shift]]</f>
        <v/>
      </c>
      <c r="U80" s="126">
        <f>1/COUNTIF(OB_Act[Dummy_DT/Exc],OB_Act[[#This Row],[Dummy_DT/Exc]])</f>
        <v>4.1841004184100415E-3</v>
      </c>
      <c r="V80" s="126" t="e">
        <f>VLOOKUP(OB_Act[[#This Row],[Day]],$AO$2:$AR$32,4,0)</f>
        <v>#N/A</v>
      </c>
      <c r="W80" s="126" t="e">
        <f>VLOOKUP(OB_Act[[#This Row],[Dump Area]],$AE$2:$AF$51,2,0)</f>
        <v>#N/A</v>
      </c>
      <c r="X80" s="126" t="str">
        <f>OB_Act[[#This Row],[Excavator]]&amp;OB_Act[[#This Row],[Contractor]]</f>
        <v/>
      </c>
      <c r="Y80" s="126" t="e">
        <f>IF(OB_Act[[#This Row],[Material]]="MUD",VLOOKUP(OB_Act[[#This Row],[Dump Truck]],Type_mud[[Nama DT]:[Type]],2,0),VLOOKUP(OB_Act[[#This Row],[Dump Truck]],Type_DT_OB[[Nama DT]:[Type]],4,0))</f>
        <v>#N/A</v>
      </c>
      <c r="Z80" s="126" t="e">
        <f>"JBG-OP1-CENTRAL-"&amp;VLOOKUP(OB_Act[[#This Row],[Pit]],$AK$2:$AL$9,2,0)&amp;"-WASTE-"&amp;OB_Act[[#This Row],[Material]]</f>
        <v>#N/A</v>
      </c>
      <c r="AA80" s="126" t="e">
        <f>"JBG-DUMP1-"&amp;VLOOKUP(OB_Act[[#This Row],[Dump]],$AF$2:$AG$55,2,0)&amp;"-"&amp;OB_Act[[#This Row],[Material]]</f>
        <v>#N/A</v>
      </c>
      <c r="AB80" s="126" t="str">
        <f>"JBG-"&amp;OB_Act[[#This Row],[Material]]</f>
        <v>JBG-</v>
      </c>
      <c r="BD80" s="105" t="str">
        <f>RIGHT(Type_DT_OB[[#This Row],[Nama DT]],3)</f>
        <v>542</v>
      </c>
      <c r="BE80" s="105" t="s">
        <v>733</v>
      </c>
      <c r="BF80" s="105">
        <v>14.5</v>
      </c>
      <c r="BG80" s="105">
        <v>9</v>
      </c>
      <c r="BH80" s="105" t="s">
        <v>384</v>
      </c>
      <c r="BI80" s="105" t="s">
        <v>385</v>
      </c>
      <c r="BK80" s="105" t="str">
        <f>RIGHT(Type_mud[[#This Row],[Nama DT]],3)</f>
        <v>921</v>
      </c>
      <c r="BL80" s="105" t="s">
        <v>644</v>
      </c>
      <c r="BM80" s="105" t="s">
        <v>645</v>
      </c>
    </row>
    <row r="81" spans="13:65">
      <c r="M81" s="105">
        <f>OB_Act[[#This Row],[Volume (BCM)]]*OB_Act[[#This Row],[Distance (Meter)]]</f>
        <v>0</v>
      </c>
      <c r="N81" s="105" t="str">
        <f>LEFT(OB_Act[[#This Row],[Dump Truck]],3)</f>
        <v/>
      </c>
      <c r="O81" s="126" t="str">
        <f>OB_Act[[#This Row],[Day]]&amp;OB_Act[[#This Row],[Excavator]]&amp;OB_Act[[#This Row],[Contractor]]&amp;OB_Act[[#This Row],[Pit]]&amp;OB_Act[[#This Row],[Shift]]</f>
        <v/>
      </c>
      <c r="P81" s="126">
        <f>1/COUNTIF(OB_Act[Dummy_Exc],OB_Act[[#This Row],[Dummy_Exc]])</f>
        <v>4.1841004184100415E-3</v>
      </c>
      <c r="Q81" s="105" t="str">
        <f>OB_Act[[#This Row],[Day]]&amp;OB_Act[[#This Row],[Dump Truck]]&amp;OB_Act[[#This Row],[Pit]]&amp;OB_Act[[#This Row],[Shift]]</f>
        <v/>
      </c>
      <c r="R81" s="126">
        <f>1/COUNTIF(OB_Act[Dummy_DT],OB_Act[[#This Row],[Dummy_DT]])</f>
        <v>4.1841004184100415E-3</v>
      </c>
      <c r="S81" s="126">
        <f>OB_Act[[#This Row],[Distance (Meter)]]*OB_Act[[#This Row],[Volume (BCM)]]</f>
        <v>0</v>
      </c>
      <c r="T81" s="105" t="str">
        <f>OB_Act[[#This Row],[Day]]&amp;OB_Act[[#This Row],[Dump Truck]]&amp;OB_Act[[#This Row],[Contractor]]&amp;OB_Act[[#This Row],[Excavator]]&amp;OB_Act[[#This Row],[Shift]]</f>
        <v/>
      </c>
      <c r="U81" s="126">
        <f>1/COUNTIF(OB_Act[Dummy_DT/Exc],OB_Act[[#This Row],[Dummy_DT/Exc]])</f>
        <v>4.1841004184100415E-3</v>
      </c>
      <c r="V81" s="126" t="e">
        <f>VLOOKUP(OB_Act[[#This Row],[Day]],$AO$2:$AR$32,4,0)</f>
        <v>#N/A</v>
      </c>
      <c r="W81" s="126" t="e">
        <f>VLOOKUP(OB_Act[[#This Row],[Dump Area]],$AE$2:$AF$51,2,0)</f>
        <v>#N/A</v>
      </c>
      <c r="X81" s="126" t="str">
        <f>OB_Act[[#This Row],[Excavator]]&amp;OB_Act[[#This Row],[Contractor]]</f>
        <v/>
      </c>
      <c r="Y81" s="126" t="e">
        <f>IF(OB_Act[[#This Row],[Material]]="MUD",VLOOKUP(OB_Act[[#This Row],[Dump Truck]],Type_mud[[Nama DT]:[Type]],2,0),VLOOKUP(OB_Act[[#This Row],[Dump Truck]],Type_DT_OB[[Nama DT]:[Type]],4,0))</f>
        <v>#N/A</v>
      </c>
      <c r="Z81" s="126" t="e">
        <f>"JBG-OP1-CENTRAL-"&amp;VLOOKUP(OB_Act[[#This Row],[Pit]],$AK$2:$AL$9,2,0)&amp;"-WASTE-"&amp;OB_Act[[#This Row],[Material]]</f>
        <v>#N/A</v>
      </c>
      <c r="AA81" s="126" t="e">
        <f>"JBG-DUMP1-"&amp;VLOOKUP(OB_Act[[#This Row],[Dump]],$AF$2:$AG$55,2,0)&amp;"-"&amp;OB_Act[[#This Row],[Material]]</f>
        <v>#N/A</v>
      </c>
      <c r="AB81" s="126" t="str">
        <f>"JBG-"&amp;OB_Act[[#This Row],[Material]]</f>
        <v>JBG-</v>
      </c>
      <c r="BD81" s="105" t="str">
        <f>RIGHT(Type_DT_OB[[#This Row],[Nama DT]],3)</f>
        <v>922</v>
      </c>
      <c r="BE81" s="105" t="s">
        <v>646</v>
      </c>
      <c r="BF81" s="105">
        <v>9</v>
      </c>
      <c r="BG81" s="105">
        <v>7</v>
      </c>
      <c r="BH81" s="105" t="s">
        <v>545</v>
      </c>
      <c r="BI81" s="105" t="s">
        <v>546</v>
      </c>
      <c r="BK81" s="105" t="str">
        <f>RIGHT(Type_mud[[#This Row],[Nama DT]],3)</f>
        <v>922</v>
      </c>
      <c r="BL81" s="105" t="s">
        <v>646</v>
      </c>
      <c r="BM81" s="105" t="s">
        <v>645</v>
      </c>
    </row>
    <row r="82" spans="13:65">
      <c r="M82" s="105">
        <f>OB_Act[[#This Row],[Volume (BCM)]]*OB_Act[[#This Row],[Distance (Meter)]]</f>
        <v>0</v>
      </c>
      <c r="N82" s="105" t="str">
        <f>LEFT(OB_Act[[#This Row],[Dump Truck]],3)</f>
        <v/>
      </c>
      <c r="O82" s="126" t="str">
        <f>OB_Act[[#This Row],[Day]]&amp;OB_Act[[#This Row],[Excavator]]&amp;OB_Act[[#This Row],[Contractor]]&amp;OB_Act[[#This Row],[Pit]]&amp;OB_Act[[#This Row],[Shift]]</f>
        <v/>
      </c>
      <c r="P82" s="126">
        <f>1/COUNTIF(OB_Act[Dummy_Exc],OB_Act[[#This Row],[Dummy_Exc]])</f>
        <v>4.1841004184100415E-3</v>
      </c>
      <c r="Q82" s="105" t="str">
        <f>OB_Act[[#This Row],[Day]]&amp;OB_Act[[#This Row],[Dump Truck]]&amp;OB_Act[[#This Row],[Pit]]&amp;OB_Act[[#This Row],[Shift]]</f>
        <v/>
      </c>
      <c r="R82" s="126">
        <f>1/COUNTIF(OB_Act[Dummy_DT],OB_Act[[#This Row],[Dummy_DT]])</f>
        <v>4.1841004184100415E-3</v>
      </c>
      <c r="S82" s="126">
        <f>OB_Act[[#This Row],[Distance (Meter)]]*OB_Act[[#This Row],[Volume (BCM)]]</f>
        <v>0</v>
      </c>
      <c r="T82" s="105" t="str">
        <f>OB_Act[[#This Row],[Day]]&amp;OB_Act[[#This Row],[Dump Truck]]&amp;OB_Act[[#This Row],[Contractor]]&amp;OB_Act[[#This Row],[Excavator]]&amp;OB_Act[[#This Row],[Shift]]</f>
        <v/>
      </c>
      <c r="U82" s="126">
        <f>1/COUNTIF(OB_Act[Dummy_DT/Exc],OB_Act[[#This Row],[Dummy_DT/Exc]])</f>
        <v>4.1841004184100415E-3</v>
      </c>
      <c r="V82" s="126" t="e">
        <f>VLOOKUP(OB_Act[[#This Row],[Day]],$AO$2:$AR$32,4,0)</f>
        <v>#N/A</v>
      </c>
      <c r="W82" s="126" t="e">
        <f>VLOOKUP(OB_Act[[#This Row],[Dump Area]],$AE$2:$AF$51,2,0)</f>
        <v>#N/A</v>
      </c>
      <c r="X82" s="126" t="str">
        <f>OB_Act[[#This Row],[Excavator]]&amp;OB_Act[[#This Row],[Contractor]]</f>
        <v/>
      </c>
      <c r="Y82" s="126" t="e">
        <f>IF(OB_Act[[#This Row],[Material]]="MUD",VLOOKUP(OB_Act[[#This Row],[Dump Truck]],Type_mud[[Nama DT]:[Type]],2,0),VLOOKUP(OB_Act[[#This Row],[Dump Truck]],Type_DT_OB[[Nama DT]:[Type]],4,0))</f>
        <v>#N/A</v>
      </c>
      <c r="Z82" s="126" t="e">
        <f>"JBG-OP1-CENTRAL-"&amp;VLOOKUP(OB_Act[[#This Row],[Pit]],$AK$2:$AL$9,2,0)&amp;"-WASTE-"&amp;OB_Act[[#This Row],[Material]]</f>
        <v>#N/A</v>
      </c>
      <c r="AA82" s="126" t="e">
        <f>"JBG-DUMP1-"&amp;VLOOKUP(OB_Act[[#This Row],[Dump]],$AF$2:$AG$55,2,0)&amp;"-"&amp;OB_Act[[#This Row],[Material]]</f>
        <v>#N/A</v>
      </c>
      <c r="AB82" s="126" t="str">
        <f>"JBG-"&amp;OB_Act[[#This Row],[Material]]</f>
        <v>JBG-</v>
      </c>
      <c r="BD82" s="105" t="str">
        <f>RIGHT(Type_DT_OB[[#This Row],[Nama DT]],3)</f>
        <v>923</v>
      </c>
      <c r="BE82" s="105" t="s">
        <v>647</v>
      </c>
      <c r="BF82" s="105">
        <v>9</v>
      </c>
      <c r="BG82" s="105">
        <v>7</v>
      </c>
      <c r="BH82" s="105" t="s">
        <v>545</v>
      </c>
      <c r="BI82" s="105" t="s">
        <v>546</v>
      </c>
      <c r="BK82" s="105" t="str">
        <f>RIGHT(Type_mud[[#This Row],[Nama DT]],3)</f>
        <v>923</v>
      </c>
      <c r="BL82" s="105" t="s">
        <v>647</v>
      </c>
      <c r="BM82" s="105" t="s">
        <v>645</v>
      </c>
    </row>
    <row r="83" spans="13:65">
      <c r="M83" s="105">
        <f>OB_Act[[#This Row],[Volume (BCM)]]*OB_Act[[#This Row],[Distance (Meter)]]</f>
        <v>0</v>
      </c>
      <c r="N83" s="105" t="str">
        <f>LEFT(OB_Act[[#This Row],[Dump Truck]],3)</f>
        <v/>
      </c>
      <c r="O83" s="126" t="str">
        <f>OB_Act[[#This Row],[Day]]&amp;OB_Act[[#This Row],[Excavator]]&amp;OB_Act[[#This Row],[Contractor]]&amp;OB_Act[[#This Row],[Pit]]&amp;OB_Act[[#This Row],[Shift]]</f>
        <v/>
      </c>
      <c r="P83" s="126">
        <f>1/COUNTIF(OB_Act[Dummy_Exc],OB_Act[[#This Row],[Dummy_Exc]])</f>
        <v>4.1841004184100415E-3</v>
      </c>
      <c r="Q83" s="105" t="str">
        <f>OB_Act[[#This Row],[Day]]&amp;OB_Act[[#This Row],[Dump Truck]]&amp;OB_Act[[#This Row],[Pit]]&amp;OB_Act[[#This Row],[Shift]]</f>
        <v/>
      </c>
      <c r="R83" s="126">
        <f>1/COUNTIF(OB_Act[Dummy_DT],OB_Act[[#This Row],[Dummy_DT]])</f>
        <v>4.1841004184100415E-3</v>
      </c>
      <c r="S83" s="126">
        <f>OB_Act[[#This Row],[Distance (Meter)]]*OB_Act[[#This Row],[Volume (BCM)]]</f>
        <v>0</v>
      </c>
      <c r="T83" s="105" t="str">
        <f>OB_Act[[#This Row],[Day]]&amp;OB_Act[[#This Row],[Dump Truck]]&amp;OB_Act[[#This Row],[Contractor]]&amp;OB_Act[[#This Row],[Excavator]]&amp;OB_Act[[#This Row],[Shift]]</f>
        <v/>
      </c>
      <c r="U83" s="126">
        <f>1/COUNTIF(OB_Act[Dummy_DT/Exc],OB_Act[[#This Row],[Dummy_DT/Exc]])</f>
        <v>4.1841004184100415E-3</v>
      </c>
      <c r="V83" s="126" t="e">
        <f>VLOOKUP(OB_Act[[#This Row],[Day]],$AO$2:$AR$32,4,0)</f>
        <v>#N/A</v>
      </c>
      <c r="W83" s="126" t="e">
        <f>VLOOKUP(OB_Act[[#This Row],[Dump Area]],$AE$2:$AF$51,2,0)</f>
        <v>#N/A</v>
      </c>
      <c r="X83" s="126" t="str">
        <f>OB_Act[[#This Row],[Excavator]]&amp;OB_Act[[#This Row],[Contractor]]</f>
        <v/>
      </c>
      <c r="Y83" s="126" t="e">
        <f>IF(OB_Act[[#This Row],[Material]]="MUD",VLOOKUP(OB_Act[[#This Row],[Dump Truck]],Type_mud[[Nama DT]:[Type]],2,0),VLOOKUP(OB_Act[[#This Row],[Dump Truck]],Type_DT_OB[[Nama DT]:[Type]],4,0))</f>
        <v>#N/A</v>
      </c>
      <c r="Z83" s="126" t="e">
        <f>"JBG-OP1-CENTRAL-"&amp;VLOOKUP(OB_Act[[#This Row],[Pit]],$AK$2:$AL$9,2,0)&amp;"-WASTE-"&amp;OB_Act[[#This Row],[Material]]</f>
        <v>#N/A</v>
      </c>
      <c r="AA83" s="126" t="e">
        <f>"JBG-DUMP1-"&amp;VLOOKUP(OB_Act[[#This Row],[Dump]],$AF$2:$AG$55,2,0)&amp;"-"&amp;OB_Act[[#This Row],[Material]]</f>
        <v>#N/A</v>
      </c>
      <c r="AB83" s="126" t="str">
        <f>"JBG-"&amp;OB_Act[[#This Row],[Material]]</f>
        <v>JBG-</v>
      </c>
      <c r="BD83" s="105" t="str">
        <f>RIGHT(Type_DT_OB[[#This Row],[Nama DT]],3)</f>
        <v>924</v>
      </c>
      <c r="BE83" s="105" t="s">
        <v>648</v>
      </c>
      <c r="BF83" s="105">
        <v>9</v>
      </c>
      <c r="BG83" s="105">
        <v>7</v>
      </c>
      <c r="BH83" s="105" t="s">
        <v>545</v>
      </c>
      <c r="BI83" s="105" t="s">
        <v>546</v>
      </c>
      <c r="BK83" s="105" t="str">
        <f>RIGHT(Type_mud[[#This Row],[Nama DT]],3)</f>
        <v>924</v>
      </c>
      <c r="BL83" s="105" t="s">
        <v>648</v>
      </c>
      <c r="BM83" s="105" t="s">
        <v>645</v>
      </c>
    </row>
    <row r="84" spans="13:65">
      <c r="M84" s="105">
        <f>OB_Act[[#This Row],[Volume (BCM)]]*OB_Act[[#This Row],[Distance (Meter)]]</f>
        <v>0</v>
      </c>
      <c r="N84" s="105" t="str">
        <f>LEFT(OB_Act[[#This Row],[Dump Truck]],3)</f>
        <v/>
      </c>
      <c r="O84" s="126" t="str">
        <f>OB_Act[[#This Row],[Day]]&amp;OB_Act[[#This Row],[Excavator]]&amp;OB_Act[[#This Row],[Contractor]]&amp;OB_Act[[#This Row],[Pit]]&amp;OB_Act[[#This Row],[Shift]]</f>
        <v/>
      </c>
      <c r="P84" s="126">
        <f>1/COUNTIF(OB_Act[Dummy_Exc],OB_Act[[#This Row],[Dummy_Exc]])</f>
        <v>4.1841004184100415E-3</v>
      </c>
      <c r="Q84" s="105" t="str">
        <f>OB_Act[[#This Row],[Day]]&amp;OB_Act[[#This Row],[Dump Truck]]&amp;OB_Act[[#This Row],[Pit]]&amp;OB_Act[[#This Row],[Shift]]</f>
        <v/>
      </c>
      <c r="R84" s="126">
        <f>1/COUNTIF(OB_Act[Dummy_DT],OB_Act[[#This Row],[Dummy_DT]])</f>
        <v>4.1841004184100415E-3</v>
      </c>
      <c r="S84" s="126">
        <f>OB_Act[[#This Row],[Distance (Meter)]]*OB_Act[[#This Row],[Volume (BCM)]]</f>
        <v>0</v>
      </c>
      <c r="T84" s="105" t="str">
        <f>OB_Act[[#This Row],[Day]]&amp;OB_Act[[#This Row],[Dump Truck]]&amp;OB_Act[[#This Row],[Contractor]]&amp;OB_Act[[#This Row],[Excavator]]&amp;OB_Act[[#This Row],[Shift]]</f>
        <v/>
      </c>
      <c r="U84" s="126">
        <f>1/COUNTIF(OB_Act[Dummy_DT/Exc],OB_Act[[#This Row],[Dummy_DT/Exc]])</f>
        <v>4.1841004184100415E-3</v>
      </c>
      <c r="V84" s="126" t="e">
        <f>VLOOKUP(OB_Act[[#This Row],[Day]],$AO$2:$AR$32,4,0)</f>
        <v>#N/A</v>
      </c>
      <c r="W84" s="126" t="e">
        <f>VLOOKUP(OB_Act[[#This Row],[Dump Area]],$AE$2:$AF$51,2,0)</f>
        <v>#N/A</v>
      </c>
      <c r="X84" s="126" t="str">
        <f>OB_Act[[#This Row],[Excavator]]&amp;OB_Act[[#This Row],[Contractor]]</f>
        <v/>
      </c>
      <c r="Y84" s="126" t="e">
        <f>IF(OB_Act[[#This Row],[Material]]="MUD",VLOOKUP(OB_Act[[#This Row],[Dump Truck]],Type_mud[[Nama DT]:[Type]],2,0),VLOOKUP(OB_Act[[#This Row],[Dump Truck]],Type_DT_OB[[Nama DT]:[Type]],4,0))</f>
        <v>#N/A</v>
      </c>
      <c r="Z84" s="126" t="e">
        <f>"JBG-OP1-CENTRAL-"&amp;VLOOKUP(OB_Act[[#This Row],[Pit]],$AK$2:$AL$9,2,0)&amp;"-WASTE-"&amp;OB_Act[[#This Row],[Material]]</f>
        <v>#N/A</v>
      </c>
      <c r="AA84" s="126" t="e">
        <f>"JBG-DUMP1-"&amp;VLOOKUP(OB_Act[[#This Row],[Dump]],$AF$2:$AG$55,2,0)&amp;"-"&amp;OB_Act[[#This Row],[Material]]</f>
        <v>#N/A</v>
      </c>
      <c r="AB84" s="126" t="str">
        <f>"JBG-"&amp;OB_Act[[#This Row],[Material]]</f>
        <v>JBG-</v>
      </c>
      <c r="BD84" s="105" t="str">
        <f>RIGHT(Type_DT_OB[[#This Row],[Nama DT]],3)</f>
        <v>925</v>
      </c>
      <c r="BE84" s="105" t="s">
        <v>649</v>
      </c>
      <c r="BF84" s="105">
        <v>9</v>
      </c>
      <c r="BG84" s="105">
        <v>7</v>
      </c>
      <c r="BH84" s="105" t="s">
        <v>545</v>
      </c>
      <c r="BI84" s="105" t="s">
        <v>546</v>
      </c>
      <c r="BK84" s="105" t="str">
        <f>RIGHT(Type_mud[[#This Row],[Nama DT]],3)</f>
        <v>925</v>
      </c>
      <c r="BL84" s="105" t="s">
        <v>649</v>
      </c>
      <c r="BM84" s="105" t="s">
        <v>645</v>
      </c>
    </row>
    <row r="85" spans="13:65">
      <c r="M85" s="105">
        <f>OB_Act[[#This Row],[Volume (BCM)]]*OB_Act[[#This Row],[Distance (Meter)]]</f>
        <v>0</v>
      </c>
      <c r="N85" s="105" t="str">
        <f>LEFT(OB_Act[[#This Row],[Dump Truck]],3)</f>
        <v/>
      </c>
      <c r="O85" s="126" t="str">
        <f>OB_Act[[#This Row],[Day]]&amp;OB_Act[[#This Row],[Excavator]]&amp;OB_Act[[#This Row],[Contractor]]&amp;OB_Act[[#This Row],[Pit]]&amp;OB_Act[[#This Row],[Shift]]</f>
        <v/>
      </c>
      <c r="P85" s="126">
        <f>1/COUNTIF(OB_Act[Dummy_Exc],OB_Act[[#This Row],[Dummy_Exc]])</f>
        <v>4.1841004184100415E-3</v>
      </c>
      <c r="Q85" s="105" t="str">
        <f>OB_Act[[#This Row],[Day]]&amp;OB_Act[[#This Row],[Dump Truck]]&amp;OB_Act[[#This Row],[Pit]]&amp;OB_Act[[#This Row],[Shift]]</f>
        <v/>
      </c>
      <c r="R85" s="126">
        <f>1/COUNTIF(OB_Act[Dummy_DT],OB_Act[[#This Row],[Dummy_DT]])</f>
        <v>4.1841004184100415E-3</v>
      </c>
      <c r="S85" s="126">
        <f>OB_Act[[#This Row],[Distance (Meter)]]*OB_Act[[#This Row],[Volume (BCM)]]</f>
        <v>0</v>
      </c>
      <c r="T85" s="105" t="str">
        <f>OB_Act[[#This Row],[Day]]&amp;OB_Act[[#This Row],[Dump Truck]]&amp;OB_Act[[#This Row],[Contractor]]&amp;OB_Act[[#This Row],[Excavator]]&amp;OB_Act[[#This Row],[Shift]]</f>
        <v/>
      </c>
      <c r="U85" s="126">
        <f>1/COUNTIF(OB_Act[Dummy_DT/Exc],OB_Act[[#This Row],[Dummy_DT/Exc]])</f>
        <v>4.1841004184100415E-3</v>
      </c>
      <c r="V85" s="126" t="e">
        <f>VLOOKUP(OB_Act[[#This Row],[Day]],$AO$2:$AR$32,4,0)</f>
        <v>#N/A</v>
      </c>
      <c r="W85" s="126" t="e">
        <f>VLOOKUP(OB_Act[[#This Row],[Dump Area]],$AE$2:$AF$51,2,0)</f>
        <v>#N/A</v>
      </c>
      <c r="X85" s="126" t="str">
        <f>OB_Act[[#This Row],[Excavator]]&amp;OB_Act[[#This Row],[Contractor]]</f>
        <v/>
      </c>
      <c r="Y85" s="126" t="e">
        <f>IF(OB_Act[[#This Row],[Material]]="MUD",VLOOKUP(OB_Act[[#This Row],[Dump Truck]],Type_mud[[Nama DT]:[Type]],2,0),VLOOKUP(OB_Act[[#This Row],[Dump Truck]],Type_DT_OB[[Nama DT]:[Type]],4,0))</f>
        <v>#N/A</v>
      </c>
      <c r="Z85" s="126" t="e">
        <f>"JBG-OP1-CENTRAL-"&amp;VLOOKUP(OB_Act[[#This Row],[Pit]],$AK$2:$AL$9,2,0)&amp;"-WASTE-"&amp;OB_Act[[#This Row],[Material]]</f>
        <v>#N/A</v>
      </c>
      <c r="AA85" s="126" t="e">
        <f>"JBG-DUMP1-"&amp;VLOOKUP(OB_Act[[#This Row],[Dump]],$AF$2:$AG$55,2,0)&amp;"-"&amp;OB_Act[[#This Row],[Material]]</f>
        <v>#N/A</v>
      </c>
      <c r="AB85" s="126" t="str">
        <f>"JBG-"&amp;OB_Act[[#This Row],[Material]]</f>
        <v>JBG-</v>
      </c>
      <c r="BD85" s="105" t="str">
        <f>RIGHT(Type_DT_OB[[#This Row],[Nama DT]],3)</f>
        <v>926</v>
      </c>
      <c r="BE85" s="105" t="s">
        <v>650</v>
      </c>
      <c r="BF85" s="105">
        <v>9</v>
      </c>
      <c r="BG85" s="105">
        <v>7</v>
      </c>
      <c r="BH85" s="105" t="s">
        <v>545</v>
      </c>
      <c r="BI85" s="105" t="s">
        <v>546</v>
      </c>
      <c r="BK85" s="105" t="str">
        <f>RIGHT(Type_mud[[#This Row],[Nama DT]],3)</f>
        <v>926</v>
      </c>
      <c r="BL85" s="105" t="s">
        <v>650</v>
      </c>
      <c r="BM85" s="105" t="s">
        <v>645</v>
      </c>
    </row>
    <row r="86" spans="13:65">
      <c r="M86" s="105">
        <f>OB_Act[[#This Row],[Volume (BCM)]]*OB_Act[[#This Row],[Distance (Meter)]]</f>
        <v>0</v>
      </c>
      <c r="N86" s="105" t="str">
        <f>LEFT(OB_Act[[#This Row],[Dump Truck]],3)</f>
        <v/>
      </c>
      <c r="O86" s="126" t="str">
        <f>OB_Act[[#This Row],[Day]]&amp;OB_Act[[#This Row],[Excavator]]&amp;OB_Act[[#This Row],[Contractor]]&amp;OB_Act[[#This Row],[Pit]]&amp;OB_Act[[#This Row],[Shift]]</f>
        <v/>
      </c>
      <c r="P86" s="126">
        <f>1/COUNTIF(OB_Act[Dummy_Exc],OB_Act[[#This Row],[Dummy_Exc]])</f>
        <v>4.1841004184100415E-3</v>
      </c>
      <c r="Q86" s="105" t="str">
        <f>OB_Act[[#This Row],[Day]]&amp;OB_Act[[#This Row],[Dump Truck]]&amp;OB_Act[[#This Row],[Pit]]&amp;OB_Act[[#This Row],[Shift]]</f>
        <v/>
      </c>
      <c r="R86" s="126">
        <f>1/COUNTIF(OB_Act[Dummy_DT],OB_Act[[#This Row],[Dummy_DT]])</f>
        <v>4.1841004184100415E-3</v>
      </c>
      <c r="S86" s="126">
        <f>OB_Act[[#This Row],[Distance (Meter)]]*OB_Act[[#This Row],[Volume (BCM)]]</f>
        <v>0</v>
      </c>
      <c r="T86" s="105" t="str">
        <f>OB_Act[[#This Row],[Day]]&amp;OB_Act[[#This Row],[Dump Truck]]&amp;OB_Act[[#This Row],[Contractor]]&amp;OB_Act[[#This Row],[Excavator]]&amp;OB_Act[[#This Row],[Shift]]</f>
        <v/>
      </c>
      <c r="U86" s="126">
        <f>1/COUNTIF(OB_Act[Dummy_DT/Exc],OB_Act[[#This Row],[Dummy_DT/Exc]])</f>
        <v>4.1841004184100415E-3</v>
      </c>
      <c r="V86" s="126" t="e">
        <f>VLOOKUP(OB_Act[[#This Row],[Day]],$AO$2:$AR$32,4,0)</f>
        <v>#N/A</v>
      </c>
      <c r="W86" s="126" t="e">
        <f>VLOOKUP(OB_Act[[#This Row],[Dump Area]],$AE$2:$AF$51,2,0)</f>
        <v>#N/A</v>
      </c>
      <c r="X86" s="126" t="str">
        <f>OB_Act[[#This Row],[Excavator]]&amp;OB_Act[[#This Row],[Contractor]]</f>
        <v/>
      </c>
      <c r="Y86" s="126" t="e">
        <f>IF(OB_Act[[#This Row],[Material]]="MUD",VLOOKUP(OB_Act[[#This Row],[Dump Truck]],Type_mud[[Nama DT]:[Type]],2,0),VLOOKUP(OB_Act[[#This Row],[Dump Truck]],Type_DT_OB[[Nama DT]:[Type]],4,0))</f>
        <v>#N/A</v>
      </c>
      <c r="Z86" s="126" t="e">
        <f>"JBG-OP1-CENTRAL-"&amp;VLOOKUP(OB_Act[[#This Row],[Pit]],$AK$2:$AL$9,2,0)&amp;"-WASTE-"&amp;OB_Act[[#This Row],[Material]]</f>
        <v>#N/A</v>
      </c>
      <c r="AA86" s="126" t="e">
        <f>"JBG-DUMP1-"&amp;VLOOKUP(OB_Act[[#This Row],[Dump]],$AF$2:$AG$55,2,0)&amp;"-"&amp;OB_Act[[#This Row],[Material]]</f>
        <v>#N/A</v>
      </c>
      <c r="AB86" s="126" t="str">
        <f>"JBG-"&amp;OB_Act[[#This Row],[Material]]</f>
        <v>JBG-</v>
      </c>
      <c r="BD86" s="105" t="str">
        <f>RIGHT(Type_DT_OB[[#This Row],[Nama DT]],3)</f>
        <v>927</v>
      </c>
      <c r="BE86" s="105" t="s">
        <v>651</v>
      </c>
      <c r="BF86" s="105">
        <v>9</v>
      </c>
      <c r="BG86" s="105">
        <v>7</v>
      </c>
      <c r="BH86" s="105" t="s">
        <v>545</v>
      </c>
      <c r="BI86" s="105" t="s">
        <v>546</v>
      </c>
      <c r="BK86" s="105" t="str">
        <f>RIGHT(Type_mud[[#This Row],[Nama DT]],3)</f>
        <v>927</v>
      </c>
      <c r="BL86" s="105" t="s">
        <v>651</v>
      </c>
      <c r="BM86" s="105" t="s">
        <v>645</v>
      </c>
    </row>
    <row r="87" spans="13:65">
      <c r="M87" s="105">
        <f>OB_Act[[#This Row],[Volume (BCM)]]*OB_Act[[#This Row],[Distance (Meter)]]</f>
        <v>0</v>
      </c>
      <c r="N87" s="105" t="str">
        <f>LEFT(OB_Act[[#This Row],[Dump Truck]],3)</f>
        <v/>
      </c>
      <c r="O87" s="126" t="str">
        <f>OB_Act[[#This Row],[Day]]&amp;OB_Act[[#This Row],[Excavator]]&amp;OB_Act[[#This Row],[Contractor]]&amp;OB_Act[[#This Row],[Pit]]&amp;OB_Act[[#This Row],[Shift]]</f>
        <v/>
      </c>
      <c r="P87" s="126">
        <f>1/COUNTIF(OB_Act[Dummy_Exc],OB_Act[[#This Row],[Dummy_Exc]])</f>
        <v>4.1841004184100415E-3</v>
      </c>
      <c r="Q87" s="105" t="str">
        <f>OB_Act[[#This Row],[Day]]&amp;OB_Act[[#This Row],[Dump Truck]]&amp;OB_Act[[#This Row],[Pit]]&amp;OB_Act[[#This Row],[Shift]]</f>
        <v/>
      </c>
      <c r="R87" s="126">
        <f>1/COUNTIF(OB_Act[Dummy_DT],OB_Act[[#This Row],[Dummy_DT]])</f>
        <v>4.1841004184100415E-3</v>
      </c>
      <c r="S87" s="126">
        <f>OB_Act[[#This Row],[Distance (Meter)]]*OB_Act[[#This Row],[Volume (BCM)]]</f>
        <v>0</v>
      </c>
      <c r="T87" s="105" t="str">
        <f>OB_Act[[#This Row],[Day]]&amp;OB_Act[[#This Row],[Dump Truck]]&amp;OB_Act[[#This Row],[Contractor]]&amp;OB_Act[[#This Row],[Excavator]]&amp;OB_Act[[#This Row],[Shift]]</f>
        <v/>
      </c>
      <c r="U87" s="126">
        <f>1/COUNTIF(OB_Act[Dummy_DT/Exc],OB_Act[[#This Row],[Dummy_DT/Exc]])</f>
        <v>4.1841004184100415E-3</v>
      </c>
      <c r="V87" s="126" t="e">
        <f>VLOOKUP(OB_Act[[#This Row],[Day]],$AO$2:$AR$32,4,0)</f>
        <v>#N/A</v>
      </c>
      <c r="W87" s="126" t="e">
        <f>VLOOKUP(OB_Act[[#This Row],[Dump Area]],$AE$2:$AF$51,2,0)</f>
        <v>#N/A</v>
      </c>
      <c r="X87" s="126" t="str">
        <f>OB_Act[[#This Row],[Excavator]]&amp;OB_Act[[#This Row],[Contractor]]</f>
        <v/>
      </c>
      <c r="Y87" s="126" t="e">
        <f>IF(OB_Act[[#This Row],[Material]]="MUD",VLOOKUP(OB_Act[[#This Row],[Dump Truck]],Type_mud[[Nama DT]:[Type]],2,0),VLOOKUP(OB_Act[[#This Row],[Dump Truck]],Type_DT_OB[[Nama DT]:[Type]],4,0))</f>
        <v>#N/A</v>
      </c>
      <c r="Z87" s="126" t="e">
        <f>"JBG-OP1-CENTRAL-"&amp;VLOOKUP(OB_Act[[#This Row],[Pit]],$AK$2:$AL$9,2,0)&amp;"-WASTE-"&amp;OB_Act[[#This Row],[Material]]</f>
        <v>#N/A</v>
      </c>
      <c r="AA87" s="126" t="e">
        <f>"JBG-DUMP1-"&amp;VLOOKUP(OB_Act[[#This Row],[Dump]],$AF$2:$AG$55,2,0)&amp;"-"&amp;OB_Act[[#This Row],[Material]]</f>
        <v>#N/A</v>
      </c>
      <c r="AB87" s="126" t="str">
        <f>"JBG-"&amp;OB_Act[[#This Row],[Material]]</f>
        <v>JBG-</v>
      </c>
      <c r="BD87" s="105" t="str">
        <f>RIGHT(Type_DT_OB[[#This Row],[Nama DT]],3)</f>
        <v>928</v>
      </c>
      <c r="BE87" s="105" t="s">
        <v>652</v>
      </c>
      <c r="BF87" s="105">
        <v>9</v>
      </c>
      <c r="BG87" s="105">
        <v>7</v>
      </c>
      <c r="BH87" s="105" t="s">
        <v>545</v>
      </c>
      <c r="BI87" s="105" t="s">
        <v>546</v>
      </c>
      <c r="BK87" s="105" t="str">
        <f>RIGHT(Type_mud[[#This Row],[Nama DT]],3)</f>
        <v>928</v>
      </c>
      <c r="BL87" s="105" t="s">
        <v>652</v>
      </c>
      <c r="BM87" s="105" t="s">
        <v>645</v>
      </c>
    </row>
    <row r="88" spans="13:65">
      <c r="M88" s="105">
        <f>OB_Act[[#This Row],[Volume (BCM)]]*OB_Act[[#This Row],[Distance (Meter)]]</f>
        <v>0</v>
      </c>
      <c r="N88" s="105" t="str">
        <f>LEFT(OB_Act[[#This Row],[Dump Truck]],3)</f>
        <v/>
      </c>
      <c r="O88" s="126" t="str">
        <f>OB_Act[[#This Row],[Day]]&amp;OB_Act[[#This Row],[Excavator]]&amp;OB_Act[[#This Row],[Contractor]]&amp;OB_Act[[#This Row],[Pit]]&amp;OB_Act[[#This Row],[Shift]]</f>
        <v/>
      </c>
      <c r="P88" s="126">
        <f>1/COUNTIF(OB_Act[Dummy_Exc],OB_Act[[#This Row],[Dummy_Exc]])</f>
        <v>4.1841004184100415E-3</v>
      </c>
      <c r="Q88" s="105" t="str">
        <f>OB_Act[[#This Row],[Day]]&amp;OB_Act[[#This Row],[Dump Truck]]&amp;OB_Act[[#This Row],[Pit]]&amp;OB_Act[[#This Row],[Shift]]</f>
        <v/>
      </c>
      <c r="R88" s="126">
        <f>1/COUNTIF(OB_Act[Dummy_DT],OB_Act[[#This Row],[Dummy_DT]])</f>
        <v>4.1841004184100415E-3</v>
      </c>
      <c r="S88" s="126">
        <f>OB_Act[[#This Row],[Distance (Meter)]]*OB_Act[[#This Row],[Volume (BCM)]]</f>
        <v>0</v>
      </c>
      <c r="T88" s="105" t="str">
        <f>OB_Act[[#This Row],[Day]]&amp;OB_Act[[#This Row],[Dump Truck]]&amp;OB_Act[[#This Row],[Contractor]]&amp;OB_Act[[#This Row],[Excavator]]&amp;OB_Act[[#This Row],[Shift]]</f>
        <v/>
      </c>
      <c r="U88" s="126">
        <f>1/COUNTIF(OB_Act[Dummy_DT/Exc],OB_Act[[#This Row],[Dummy_DT/Exc]])</f>
        <v>4.1841004184100415E-3</v>
      </c>
      <c r="V88" s="126" t="e">
        <f>VLOOKUP(OB_Act[[#This Row],[Day]],$AO$2:$AR$32,4,0)</f>
        <v>#N/A</v>
      </c>
      <c r="W88" s="126" t="e">
        <f>VLOOKUP(OB_Act[[#This Row],[Dump Area]],$AE$2:$AF$51,2,0)</f>
        <v>#N/A</v>
      </c>
      <c r="X88" s="126" t="str">
        <f>OB_Act[[#This Row],[Excavator]]&amp;OB_Act[[#This Row],[Contractor]]</f>
        <v/>
      </c>
      <c r="Y88" s="126" t="e">
        <f>IF(OB_Act[[#This Row],[Material]]="MUD",VLOOKUP(OB_Act[[#This Row],[Dump Truck]],Type_mud[[Nama DT]:[Type]],2,0),VLOOKUP(OB_Act[[#This Row],[Dump Truck]],Type_DT_OB[[Nama DT]:[Type]],4,0))</f>
        <v>#N/A</v>
      </c>
      <c r="Z88" s="126" t="e">
        <f>"JBG-OP1-CENTRAL-"&amp;VLOOKUP(OB_Act[[#This Row],[Pit]],$AK$2:$AL$9,2,0)&amp;"-WASTE-"&amp;OB_Act[[#This Row],[Material]]</f>
        <v>#N/A</v>
      </c>
      <c r="AA88" s="126" t="e">
        <f>"JBG-DUMP1-"&amp;VLOOKUP(OB_Act[[#This Row],[Dump]],$AF$2:$AG$55,2,0)&amp;"-"&amp;OB_Act[[#This Row],[Material]]</f>
        <v>#N/A</v>
      </c>
      <c r="AB88" s="126" t="str">
        <f>"JBG-"&amp;OB_Act[[#This Row],[Material]]</f>
        <v>JBG-</v>
      </c>
      <c r="BD88" s="105" t="str">
        <f>RIGHT(Type_DT_OB[[#This Row],[Nama DT]],3)</f>
        <v>929</v>
      </c>
      <c r="BE88" s="105" t="s">
        <v>653</v>
      </c>
      <c r="BF88" s="105">
        <v>9</v>
      </c>
      <c r="BG88" s="105">
        <v>7</v>
      </c>
      <c r="BH88" s="105" t="s">
        <v>545</v>
      </c>
      <c r="BI88" s="105" t="s">
        <v>546</v>
      </c>
      <c r="BK88" s="105" t="str">
        <f>RIGHT(Type_mud[[#This Row],[Nama DT]],3)</f>
        <v>929</v>
      </c>
      <c r="BL88" s="105" t="s">
        <v>653</v>
      </c>
      <c r="BM88" s="105" t="s">
        <v>645</v>
      </c>
    </row>
    <row r="89" spans="13:65">
      <c r="M89" s="105">
        <f>OB_Act[[#This Row],[Volume (BCM)]]*OB_Act[[#This Row],[Distance (Meter)]]</f>
        <v>0</v>
      </c>
      <c r="N89" s="105" t="str">
        <f>LEFT(OB_Act[[#This Row],[Dump Truck]],3)</f>
        <v/>
      </c>
      <c r="O89" s="126" t="str">
        <f>OB_Act[[#This Row],[Day]]&amp;OB_Act[[#This Row],[Excavator]]&amp;OB_Act[[#This Row],[Contractor]]&amp;OB_Act[[#This Row],[Pit]]&amp;OB_Act[[#This Row],[Shift]]</f>
        <v/>
      </c>
      <c r="P89" s="126">
        <f>1/COUNTIF(OB_Act[Dummy_Exc],OB_Act[[#This Row],[Dummy_Exc]])</f>
        <v>4.1841004184100415E-3</v>
      </c>
      <c r="Q89" s="105" t="str">
        <f>OB_Act[[#This Row],[Day]]&amp;OB_Act[[#This Row],[Dump Truck]]&amp;OB_Act[[#This Row],[Pit]]&amp;OB_Act[[#This Row],[Shift]]</f>
        <v/>
      </c>
      <c r="R89" s="126">
        <f>1/COUNTIF(OB_Act[Dummy_DT],OB_Act[[#This Row],[Dummy_DT]])</f>
        <v>4.1841004184100415E-3</v>
      </c>
      <c r="S89" s="126">
        <f>OB_Act[[#This Row],[Distance (Meter)]]*OB_Act[[#This Row],[Volume (BCM)]]</f>
        <v>0</v>
      </c>
      <c r="T89" s="105" t="str">
        <f>OB_Act[[#This Row],[Day]]&amp;OB_Act[[#This Row],[Dump Truck]]&amp;OB_Act[[#This Row],[Contractor]]&amp;OB_Act[[#This Row],[Excavator]]&amp;OB_Act[[#This Row],[Shift]]</f>
        <v/>
      </c>
      <c r="U89" s="126">
        <f>1/COUNTIF(OB_Act[Dummy_DT/Exc],OB_Act[[#This Row],[Dummy_DT/Exc]])</f>
        <v>4.1841004184100415E-3</v>
      </c>
      <c r="V89" s="126" t="e">
        <f>VLOOKUP(OB_Act[[#This Row],[Day]],$AO$2:$AR$32,4,0)</f>
        <v>#N/A</v>
      </c>
      <c r="W89" s="126" t="e">
        <f>VLOOKUP(OB_Act[[#This Row],[Dump Area]],$AE$2:$AF$51,2,0)</f>
        <v>#N/A</v>
      </c>
      <c r="X89" s="126" t="str">
        <f>OB_Act[[#This Row],[Excavator]]&amp;OB_Act[[#This Row],[Contractor]]</f>
        <v/>
      </c>
      <c r="Y89" s="126" t="e">
        <f>IF(OB_Act[[#This Row],[Material]]="MUD",VLOOKUP(OB_Act[[#This Row],[Dump Truck]],Type_mud[[Nama DT]:[Type]],2,0),VLOOKUP(OB_Act[[#This Row],[Dump Truck]],Type_DT_OB[[Nama DT]:[Type]],4,0))</f>
        <v>#N/A</v>
      </c>
      <c r="Z89" s="126" t="e">
        <f>"JBG-OP1-CENTRAL-"&amp;VLOOKUP(OB_Act[[#This Row],[Pit]],$AK$2:$AL$9,2,0)&amp;"-WASTE-"&amp;OB_Act[[#This Row],[Material]]</f>
        <v>#N/A</v>
      </c>
      <c r="AA89" s="126" t="e">
        <f>"JBG-DUMP1-"&amp;VLOOKUP(OB_Act[[#This Row],[Dump]],$AF$2:$AG$55,2,0)&amp;"-"&amp;OB_Act[[#This Row],[Material]]</f>
        <v>#N/A</v>
      </c>
      <c r="AB89" s="126" t="str">
        <f>"JBG-"&amp;OB_Act[[#This Row],[Material]]</f>
        <v>JBG-</v>
      </c>
      <c r="BD89" s="105" t="str">
        <f>RIGHT(Type_DT_OB[[#This Row],[Nama DT]],3)</f>
        <v>930</v>
      </c>
      <c r="BE89" s="105" t="s">
        <v>654</v>
      </c>
      <c r="BF89" s="105">
        <v>9</v>
      </c>
      <c r="BG89" s="105">
        <v>7</v>
      </c>
      <c r="BH89" s="105" t="s">
        <v>545</v>
      </c>
      <c r="BI89" s="105" t="s">
        <v>546</v>
      </c>
      <c r="BK89" s="105" t="str">
        <f>RIGHT(Type_mud[[#This Row],[Nama DT]],3)</f>
        <v>930</v>
      </c>
      <c r="BL89" s="105" t="s">
        <v>654</v>
      </c>
      <c r="BM89" s="105" t="s">
        <v>645</v>
      </c>
    </row>
    <row r="90" spans="13:65">
      <c r="M90" s="105">
        <f>OB_Act[[#This Row],[Volume (BCM)]]*OB_Act[[#This Row],[Distance (Meter)]]</f>
        <v>0</v>
      </c>
      <c r="N90" s="105" t="str">
        <f>LEFT(OB_Act[[#This Row],[Dump Truck]],3)</f>
        <v/>
      </c>
      <c r="O90" s="126" t="str">
        <f>OB_Act[[#This Row],[Day]]&amp;OB_Act[[#This Row],[Excavator]]&amp;OB_Act[[#This Row],[Contractor]]&amp;OB_Act[[#This Row],[Pit]]&amp;OB_Act[[#This Row],[Shift]]</f>
        <v/>
      </c>
      <c r="P90" s="126">
        <f>1/COUNTIF(OB_Act[Dummy_Exc],OB_Act[[#This Row],[Dummy_Exc]])</f>
        <v>4.1841004184100415E-3</v>
      </c>
      <c r="Q90" s="105" t="str">
        <f>OB_Act[[#This Row],[Day]]&amp;OB_Act[[#This Row],[Dump Truck]]&amp;OB_Act[[#This Row],[Pit]]&amp;OB_Act[[#This Row],[Shift]]</f>
        <v/>
      </c>
      <c r="R90" s="126">
        <f>1/COUNTIF(OB_Act[Dummy_DT],OB_Act[[#This Row],[Dummy_DT]])</f>
        <v>4.1841004184100415E-3</v>
      </c>
      <c r="S90" s="126">
        <f>OB_Act[[#This Row],[Distance (Meter)]]*OB_Act[[#This Row],[Volume (BCM)]]</f>
        <v>0</v>
      </c>
      <c r="T90" s="105" t="str">
        <f>OB_Act[[#This Row],[Day]]&amp;OB_Act[[#This Row],[Dump Truck]]&amp;OB_Act[[#This Row],[Contractor]]&amp;OB_Act[[#This Row],[Excavator]]&amp;OB_Act[[#This Row],[Shift]]</f>
        <v/>
      </c>
      <c r="U90" s="126">
        <f>1/COUNTIF(OB_Act[Dummy_DT/Exc],OB_Act[[#This Row],[Dummy_DT/Exc]])</f>
        <v>4.1841004184100415E-3</v>
      </c>
      <c r="V90" s="126" t="e">
        <f>VLOOKUP(OB_Act[[#This Row],[Day]],$AO$2:$AR$32,4,0)</f>
        <v>#N/A</v>
      </c>
      <c r="W90" s="126" t="e">
        <f>VLOOKUP(OB_Act[[#This Row],[Dump Area]],$AE$2:$AF$51,2,0)</f>
        <v>#N/A</v>
      </c>
      <c r="X90" s="126" t="str">
        <f>OB_Act[[#This Row],[Excavator]]&amp;OB_Act[[#This Row],[Contractor]]</f>
        <v/>
      </c>
      <c r="Y90" s="126" t="e">
        <f>IF(OB_Act[[#This Row],[Material]]="MUD",VLOOKUP(OB_Act[[#This Row],[Dump Truck]],Type_mud[[Nama DT]:[Type]],2,0),VLOOKUP(OB_Act[[#This Row],[Dump Truck]],Type_DT_OB[[Nama DT]:[Type]],4,0))</f>
        <v>#N/A</v>
      </c>
      <c r="Z90" s="126" t="e">
        <f>"JBG-OP1-CENTRAL-"&amp;VLOOKUP(OB_Act[[#This Row],[Pit]],$AK$2:$AL$9,2,0)&amp;"-WASTE-"&amp;OB_Act[[#This Row],[Material]]</f>
        <v>#N/A</v>
      </c>
      <c r="AA90" s="126" t="e">
        <f>"JBG-DUMP1-"&amp;VLOOKUP(OB_Act[[#This Row],[Dump]],$AF$2:$AG$55,2,0)&amp;"-"&amp;OB_Act[[#This Row],[Material]]</f>
        <v>#N/A</v>
      </c>
      <c r="AB90" s="126" t="str">
        <f>"JBG-"&amp;OB_Act[[#This Row],[Material]]</f>
        <v>JBG-</v>
      </c>
      <c r="BD90" s="105" t="str">
        <f>RIGHT(Type_DT_OB[[#This Row],[Nama DT]],3)</f>
        <v>931</v>
      </c>
      <c r="BE90" s="105" t="s">
        <v>655</v>
      </c>
      <c r="BF90" s="105">
        <v>11</v>
      </c>
      <c r="BG90" s="105">
        <v>10</v>
      </c>
      <c r="BH90" s="105" t="s">
        <v>467</v>
      </c>
      <c r="BI90" s="105" t="s">
        <v>431</v>
      </c>
      <c r="BK90" s="105" t="str">
        <f>RIGHT(Type_mud[[#This Row],[Nama DT]],3)</f>
        <v>931</v>
      </c>
      <c r="BL90" s="105" t="s">
        <v>655</v>
      </c>
      <c r="BM90" s="105" t="s">
        <v>656</v>
      </c>
    </row>
    <row r="91" spans="13:65">
      <c r="M91" s="105">
        <f>OB_Act[[#This Row],[Volume (BCM)]]*OB_Act[[#This Row],[Distance (Meter)]]</f>
        <v>0</v>
      </c>
      <c r="N91" s="105" t="str">
        <f>LEFT(OB_Act[[#This Row],[Dump Truck]],3)</f>
        <v/>
      </c>
      <c r="O91" s="126" t="str">
        <f>OB_Act[[#This Row],[Day]]&amp;OB_Act[[#This Row],[Excavator]]&amp;OB_Act[[#This Row],[Contractor]]&amp;OB_Act[[#This Row],[Pit]]&amp;OB_Act[[#This Row],[Shift]]</f>
        <v/>
      </c>
      <c r="P91" s="126">
        <f>1/COUNTIF(OB_Act[Dummy_Exc],OB_Act[[#This Row],[Dummy_Exc]])</f>
        <v>4.1841004184100415E-3</v>
      </c>
      <c r="Q91" s="105" t="str">
        <f>OB_Act[[#This Row],[Day]]&amp;OB_Act[[#This Row],[Dump Truck]]&amp;OB_Act[[#This Row],[Pit]]&amp;OB_Act[[#This Row],[Shift]]</f>
        <v/>
      </c>
      <c r="R91" s="126">
        <f>1/COUNTIF(OB_Act[Dummy_DT],OB_Act[[#This Row],[Dummy_DT]])</f>
        <v>4.1841004184100415E-3</v>
      </c>
      <c r="S91" s="126">
        <f>OB_Act[[#This Row],[Distance (Meter)]]*OB_Act[[#This Row],[Volume (BCM)]]</f>
        <v>0</v>
      </c>
      <c r="T91" s="105" t="str">
        <f>OB_Act[[#This Row],[Day]]&amp;OB_Act[[#This Row],[Dump Truck]]&amp;OB_Act[[#This Row],[Contractor]]&amp;OB_Act[[#This Row],[Excavator]]&amp;OB_Act[[#This Row],[Shift]]</f>
        <v/>
      </c>
      <c r="U91" s="126">
        <f>1/COUNTIF(OB_Act[Dummy_DT/Exc],OB_Act[[#This Row],[Dummy_DT/Exc]])</f>
        <v>4.1841004184100415E-3</v>
      </c>
      <c r="V91" s="126" t="e">
        <f>VLOOKUP(OB_Act[[#This Row],[Day]],$AO$2:$AR$32,4,0)</f>
        <v>#N/A</v>
      </c>
      <c r="W91" s="126" t="e">
        <f>VLOOKUP(OB_Act[[#This Row],[Dump Area]],$AE$2:$AF$51,2,0)</f>
        <v>#N/A</v>
      </c>
      <c r="X91" s="126" t="str">
        <f>OB_Act[[#This Row],[Excavator]]&amp;OB_Act[[#This Row],[Contractor]]</f>
        <v/>
      </c>
      <c r="Y91" s="126" t="e">
        <f>IF(OB_Act[[#This Row],[Material]]="MUD",VLOOKUP(OB_Act[[#This Row],[Dump Truck]],Type_mud[[Nama DT]:[Type]],2,0),VLOOKUP(OB_Act[[#This Row],[Dump Truck]],Type_DT_OB[[Nama DT]:[Type]],4,0))</f>
        <v>#N/A</v>
      </c>
      <c r="Z91" s="126" t="e">
        <f>"JBG-OP1-CENTRAL-"&amp;VLOOKUP(OB_Act[[#This Row],[Pit]],$AK$2:$AL$9,2,0)&amp;"-WASTE-"&amp;OB_Act[[#This Row],[Material]]</f>
        <v>#N/A</v>
      </c>
      <c r="AA91" s="126" t="e">
        <f>"JBG-DUMP1-"&amp;VLOOKUP(OB_Act[[#This Row],[Dump]],$AF$2:$AG$55,2,0)&amp;"-"&amp;OB_Act[[#This Row],[Material]]</f>
        <v>#N/A</v>
      </c>
      <c r="AB91" s="126" t="str">
        <f>"JBG-"&amp;OB_Act[[#This Row],[Material]]</f>
        <v>JBG-</v>
      </c>
      <c r="BD91" s="105" t="str">
        <f>RIGHT(Type_DT_OB[[#This Row],[Nama DT]],3)</f>
        <v>932</v>
      </c>
      <c r="BE91" s="105" t="s">
        <v>466</v>
      </c>
      <c r="BF91" s="105">
        <v>11</v>
      </c>
      <c r="BG91" s="105">
        <v>10</v>
      </c>
      <c r="BH91" s="105" t="s">
        <v>467</v>
      </c>
      <c r="BI91" s="105" t="s">
        <v>431</v>
      </c>
      <c r="BK91" s="105" t="str">
        <f>RIGHT(Type_mud[[#This Row],[Nama DT]],3)</f>
        <v>932</v>
      </c>
      <c r="BL91" s="105" t="s">
        <v>466</v>
      </c>
      <c r="BM91" s="105" t="s">
        <v>656</v>
      </c>
    </row>
    <row r="92" spans="13:65">
      <c r="M92" s="105">
        <f>OB_Act[[#This Row],[Volume (BCM)]]*OB_Act[[#This Row],[Distance (Meter)]]</f>
        <v>0</v>
      </c>
      <c r="N92" s="105" t="str">
        <f>LEFT(OB_Act[[#This Row],[Dump Truck]],3)</f>
        <v/>
      </c>
      <c r="O92" s="126" t="str">
        <f>OB_Act[[#This Row],[Day]]&amp;OB_Act[[#This Row],[Excavator]]&amp;OB_Act[[#This Row],[Contractor]]&amp;OB_Act[[#This Row],[Pit]]&amp;OB_Act[[#This Row],[Shift]]</f>
        <v/>
      </c>
      <c r="P92" s="126">
        <f>1/COUNTIF(OB_Act[Dummy_Exc],OB_Act[[#This Row],[Dummy_Exc]])</f>
        <v>4.1841004184100415E-3</v>
      </c>
      <c r="Q92" s="105" t="str">
        <f>OB_Act[[#This Row],[Day]]&amp;OB_Act[[#This Row],[Dump Truck]]&amp;OB_Act[[#This Row],[Pit]]&amp;OB_Act[[#This Row],[Shift]]</f>
        <v/>
      </c>
      <c r="R92" s="126">
        <f>1/COUNTIF(OB_Act[Dummy_DT],OB_Act[[#This Row],[Dummy_DT]])</f>
        <v>4.1841004184100415E-3</v>
      </c>
      <c r="S92" s="126">
        <f>OB_Act[[#This Row],[Distance (Meter)]]*OB_Act[[#This Row],[Volume (BCM)]]</f>
        <v>0</v>
      </c>
      <c r="T92" s="105" t="str">
        <f>OB_Act[[#This Row],[Day]]&amp;OB_Act[[#This Row],[Dump Truck]]&amp;OB_Act[[#This Row],[Contractor]]&amp;OB_Act[[#This Row],[Excavator]]&amp;OB_Act[[#This Row],[Shift]]</f>
        <v/>
      </c>
      <c r="U92" s="126">
        <f>1/COUNTIF(OB_Act[Dummy_DT/Exc],OB_Act[[#This Row],[Dummy_DT/Exc]])</f>
        <v>4.1841004184100415E-3</v>
      </c>
      <c r="V92" s="126" t="e">
        <f>VLOOKUP(OB_Act[[#This Row],[Day]],$AO$2:$AR$32,4,0)</f>
        <v>#N/A</v>
      </c>
      <c r="W92" s="126" t="e">
        <f>VLOOKUP(OB_Act[[#This Row],[Dump Area]],$AE$2:$AF$51,2,0)</f>
        <v>#N/A</v>
      </c>
      <c r="X92" s="126" t="str">
        <f>OB_Act[[#This Row],[Excavator]]&amp;OB_Act[[#This Row],[Contractor]]</f>
        <v/>
      </c>
      <c r="Y92" s="126" t="e">
        <f>IF(OB_Act[[#This Row],[Material]]="MUD",VLOOKUP(OB_Act[[#This Row],[Dump Truck]],Type_mud[[Nama DT]:[Type]],2,0),VLOOKUP(OB_Act[[#This Row],[Dump Truck]],Type_DT_OB[[Nama DT]:[Type]],4,0))</f>
        <v>#N/A</v>
      </c>
      <c r="Z92" s="126" t="e">
        <f>"JBG-OP1-CENTRAL-"&amp;VLOOKUP(OB_Act[[#This Row],[Pit]],$AK$2:$AL$9,2,0)&amp;"-WASTE-"&amp;OB_Act[[#This Row],[Material]]</f>
        <v>#N/A</v>
      </c>
      <c r="AA92" s="126" t="e">
        <f>"JBG-DUMP1-"&amp;VLOOKUP(OB_Act[[#This Row],[Dump]],$AF$2:$AG$55,2,0)&amp;"-"&amp;OB_Act[[#This Row],[Material]]</f>
        <v>#N/A</v>
      </c>
      <c r="AB92" s="126" t="str">
        <f>"JBG-"&amp;OB_Act[[#This Row],[Material]]</f>
        <v>JBG-</v>
      </c>
      <c r="BD92" s="105" t="str">
        <f>RIGHT(Type_DT_OB[[#This Row],[Nama DT]],3)</f>
        <v>933</v>
      </c>
      <c r="BE92" s="105" t="s">
        <v>468</v>
      </c>
      <c r="BF92" s="105">
        <v>11</v>
      </c>
      <c r="BG92" s="105">
        <v>10</v>
      </c>
      <c r="BH92" s="105" t="s">
        <v>467</v>
      </c>
      <c r="BI92" s="105" t="s">
        <v>431</v>
      </c>
      <c r="BK92" s="105" t="str">
        <f>RIGHT(Type_mud[[#This Row],[Nama DT]],3)</f>
        <v>933</v>
      </c>
      <c r="BL92" s="105" t="s">
        <v>468</v>
      </c>
      <c r="BM92" s="105" t="s">
        <v>656</v>
      </c>
    </row>
    <row r="93" spans="13:65">
      <c r="M93" s="105">
        <f>OB_Act[[#This Row],[Volume (BCM)]]*OB_Act[[#This Row],[Distance (Meter)]]</f>
        <v>0</v>
      </c>
      <c r="N93" s="105" t="str">
        <f>LEFT(OB_Act[[#This Row],[Dump Truck]],3)</f>
        <v/>
      </c>
      <c r="O93" s="126" t="str">
        <f>OB_Act[[#This Row],[Day]]&amp;OB_Act[[#This Row],[Excavator]]&amp;OB_Act[[#This Row],[Contractor]]&amp;OB_Act[[#This Row],[Pit]]&amp;OB_Act[[#This Row],[Shift]]</f>
        <v/>
      </c>
      <c r="P93" s="126">
        <f>1/COUNTIF(OB_Act[Dummy_Exc],OB_Act[[#This Row],[Dummy_Exc]])</f>
        <v>4.1841004184100415E-3</v>
      </c>
      <c r="Q93" s="105" t="str">
        <f>OB_Act[[#This Row],[Day]]&amp;OB_Act[[#This Row],[Dump Truck]]&amp;OB_Act[[#This Row],[Pit]]&amp;OB_Act[[#This Row],[Shift]]</f>
        <v/>
      </c>
      <c r="R93" s="126">
        <f>1/COUNTIF(OB_Act[Dummy_DT],OB_Act[[#This Row],[Dummy_DT]])</f>
        <v>4.1841004184100415E-3</v>
      </c>
      <c r="S93" s="126">
        <f>OB_Act[[#This Row],[Distance (Meter)]]*OB_Act[[#This Row],[Volume (BCM)]]</f>
        <v>0</v>
      </c>
      <c r="T93" s="105" t="str">
        <f>OB_Act[[#This Row],[Day]]&amp;OB_Act[[#This Row],[Dump Truck]]&amp;OB_Act[[#This Row],[Contractor]]&amp;OB_Act[[#This Row],[Excavator]]&amp;OB_Act[[#This Row],[Shift]]</f>
        <v/>
      </c>
      <c r="U93" s="126">
        <f>1/COUNTIF(OB_Act[Dummy_DT/Exc],OB_Act[[#This Row],[Dummy_DT/Exc]])</f>
        <v>4.1841004184100415E-3</v>
      </c>
      <c r="V93" s="126" t="e">
        <f>VLOOKUP(OB_Act[[#This Row],[Day]],$AO$2:$AR$32,4,0)</f>
        <v>#N/A</v>
      </c>
      <c r="W93" s="126" t="e">
        <f>VLOOKUP(OB_Act[[#This Row],[Dump Area]],$AE$2:$AF$51,2,0)</f>
        <v>#N/A</v>
      </c>
      <c r="X93" s="126" t="str">
        <f>OB_Act[[#This Row],[Excavator]]&amp;OB_Act[[#This Row],[Contractor]]</f>
        <v/>
      </c>
      <c r="Y93" s="126" t="e">
        <f>IF(OB_Act[[#This Row],[Material]]="MUD",VLOOKUP(OB_Act[[#This Row],[Dump Truck]],Type_mud[[Nama DT]:[Type]],2,0),VLOOKUP(OB_Act[[#This Row],[Dump Truck]],Type_DT_OB[[Nama DT]:[Type]],4,0))</f>
        <v>#N/A</v>
      </c>
      <c r="Z93" s="126" t="e">
        <f>"JBG-OP1-CENTRAL-"&amp;VLOOKUP(OB_Act[[#This Row],[Pit]],$AK$2:$AL$9,2,0)&amp;"-WASTE-"&amp;OB_Act[[#This Row],[Material]]</f>
        <v>#N/A</v>
      </c>
      <c r="AA93" s="126" t="e">
        <f>"JBG-DUMP1-"&amp;VLOOKUP(OB_Act[[#This Row],[Dump]],$AF$2:$AG$55,2,0)&amp;"-"&amp;OB_Act[[#This Row],[Material]]</f>
        <v>#N/A</v>
      </c>
      <c r="AB93" s="126" t="str">
        <f>"JBG-"&amp;OB_Act[[#This Row],[Material]]</f>
        <v>JBG-</v>
      </c>
      <c r="BD93" s="105" t="str">
        <f>RIGHT(Type_DT_OB[[#This Row],[Nama DT]],3)</f>
        <v>934</v>
      </c>
      <c r="BE93" s="105" t="s">
        <v>469</v>
      </c>
      <c r="BF93" s="105">
        <v>11</v>
      </c>
      <c r="BG93" s="105">
        <v>10</v>
      </c>
      <c r="BH93" s="105" t="s">
        <v>467</v>
      </c>
      <c r="BI93" s="105" t="s">
        <v>431</v>
      </c>
      <c r="BK93" s="105" t="str">
        <f>RIGHT(Type_mud[[#This Row],[Nama DT]],3)</f>
        <v>934</v>
      </c>
      <c r="BL93" s="105" t="s">
        <v>469</v>
      </c>
      <c r="BM93" s="105" t="s">
        <v>656</v>
      </c>
    </row>
    <row r="94" spans="13:65">
      <c r="M94" s="105">
        <f>OB_Act[[#This Row],[Volume (BCM)]]*OB_Act[[#This Row],[Distance (Meter)]]</f>
        <v>0</v>
      </c>
      <c r="N94" s="105" t="str">
        <f>LEFT(OB_Act[[#This Row],[Dump Truck]],3)</f>
        <v/>
      </c>
      <c r="O94" s="126" t="str">
        <f>OB_Act[[#This Row],[Day]]&amp;OB_Act[[#This Row],[Excavator]]&amp;OB_Act[[#This Row],[Contractor]]&amp;OB_Act[[#This Row],[Pit]]&amp;OB_Act[[#This Row],[Shift]]</f>
        <v/>
      </c>
      <c r="P94" s="126">
        <f>1/COUNTIF(OB_Act[Dummy_Exc],OB_Act[[#This Row],[Dummy_Exc]])</f>
        <v>4.1841004184100415E-3</v>
      </c>
      <c r="Q94" s="105" t="str">
        <f>OB_Act[[#This Row],[Day]]&amp;OB_Act[[#This Row],[Dump Truck]]&amp;OB_Act[[#This Row],[Pit]]&amp;OB_Act[[#This Row],[Shift]]</f>
        <v/>
      </c>
      <c r="R94" s="126">
        <f>1/COUNTIF(OB_Act[Dummy_DT],OB_Act[[#This Row],[Dummy_DT]])</f>
        <v>4.1841004184100415E-3</v>
      </c>
      <c r="S94" s="126">
        <f>OB_Act[[#This Row],[Distance (Meter)]]*OB_Act[[#This Row],[Volume (BCM)]]</f>
        <v>0</v>
      </c>
      <c r="T94" s="105" t="str">
        <f>OB_Act[[#This Row],[Day]]&amp;OB_Act[[#This Row],[Dump Truck]]&amp;OB_Act[[#This Row],[Contractor]]&amp;OB_Act[[#This Row],[Excavator]]&amp;OB_Act[[#This Row],[Shift]]</f>
        <v/>
      </c>
      <c r="U94" s="126">
        <f>1/COUNTIF(OB_Act[Dummy_DT/Exc],OB_Act[[#This Row],[Dummy_DT/Exc]])</f>
        <v>4.1841004184100415E-3</v>
      </c>
      <c r="V94" s="126" t="e">
        <f>VLOOKUP(OB_Act[[#This Row],[Day]],$AO$2:$AR$32,4,0)</f>
        <v>#N/A</v>
      </c>
      <c r="W94" s="126" t="e">
        <f>VLOOKUP(OB_Act[[#This Row],[Dump Area]],$AE$2:$AF$51,2,0)</f>
        <v>#N/A</v>
      </c>
      <c r="X94" s="126" t="str">
        <f>OB_Act[[#This Row],[Excavator]]&amp;OB_Act[[#This Row],[Contractor]]</f>
        <v/>
      </c>
      <c r="Y94" s="126" t="e">
        <f>IF(OB_Act[[#This Row],[Material]]="MUD",VLOOKUP(OB_Act[[#This Row],[Dump Truck]],Type_mud[[Nama DT]:[Type]],2,0),VLOOKUP(OB_Act[[#This Row],[Dump Truck]],Type_DT_OB[[Nama DT]:[Type]],4,0))</f>
        <v>#N/A</v>
      </c>
      <c r="Z94" s="126" t="e">
        <f>"JBG-OP1-CENTRAL-"&amp;VLOOKUP(OB_Act[[#This Row],[Pit]],$AK$2:$AL$9,2,0)&amp;"-WASTE-"&amp;OB_Act[[#This Row],[Material]]</f>
        <v>#N/A</v>
      </c>
      <c r="AA94" s="126" t="e">
        <f>"JBG-DUMP1-"&amp;VLOOKUP(OB_Act[[#This Row],[Dump]],$AF$2:$AG$55,2,0)&amp;"-"&amp;OB_Act[[#This Row],[Material]]</f>
        <v>#N/A</v>
      </c>
      <c r="AB94" s="126" t="str">
        <f>"JBG-"&amp;OB_Act[[#This Row],[Material]]</f>
        <v>JBG-</v>
      </c>
      <c r="BD94" s="105" t="str">
        <f>RIGHT(Type_DT_OB[[#This Row],[Nama DT]],3)</f>
        <v>935</v>
      </c>
      <c r="BE94" s="105" t="s">
        <v>470</v>
      </c>
      <c r="BF94" s="105">
        <v>11</v>
      </c>
      <c r="BG94" s="105">
        <v>10</v>
      </c>
      <c r="BH94" s="105" t="s">
        <v>467</v>
      </c>
      <c r="BI94" s="105" t="s">
        <v>431</v>
      </c>
      <c r="BK94" s="105" t="str">
        <f>RIGHT(Type_mud[[#This Row],[Nama DT]],3)</f>
        <v>935</v>
      </c>
      <c r="BL94" s="105" t="s">
        <v>470</v>
      </c>
      <c r="BM94" s="105" t="s">
        <v>656</v>
      </c>
    </row>
    <row r="95" spans="13:65">
      <c r="M95" s="105">
        <f>OB_Act[[#This Row],[Volume (BCM)]]*OB_Act[[#This Row],[Distance (Meter)]]</f>
        <v>0</v>
      </c>
      <c r="N95" s="105" t="str">
        <f>LEFT(OB_Act[[#This Row],[Dump Truck]],3)</f>
        <v/>
      </c>
      <c r="O95" s="126" t="str">
        <f>OB_Act[[#This Row],[Day]]&amp;OB_Act[[#This Row],[Excavator]]&amp;OB_Act[[#This Row],[Contractor]]&amp;OB_Act[[#This Row],[Pit]]&amp;OB_Act[[#This Row],[Shift]]</f>
        <v/>
      </c>
      <c r="P95" s="126">
        <f>1/COUNTIF(OB_Act[Dummy_Exc],OB_Act[[#This Row],[Dummy_Exc]])</f>
        <v>4.1841004184100415E-3</v>
      </c>
      <c r="Q95" s="105" t="str">
        <f>OB_Act[[#This Row],[Day]]&amp;OB_Act[[#This Row],[Dump Truck]]&amp;OB_Act[[#This Row],[Pit]]&amp;OB_Act[[#This Row],[Shift]]</f>
        <v/>
      </c>
      <c r="R95" s="126">
        <f>1/COUNTIF(OB_Act[Dummy_DT],OB_Act[[#This Row],[Dummy_DT]])</f>
        <v>4.1841004184100415E-3</v>
      </c>
      <c r="S95" s="126">
        <f>OB_Act[[#This Row],[Distance (Meter)]]*OB_Act[[#This Row],[Volume (BCM)]]</f>
        <v>0</v>
      </c>
      <c r="T95" s="105" t="str">
        <f>OB_Act[[#This Row],[Day]]&amp;OB_Act[[#This Row],[Dump Truck]]&amp;OB_Act[[#This Row],[Contractor]]&amp;OB_Act[[#This Row],[Excavator]]&amp;OB_Act[[#This Row],[Shift]]</f>
        <v/>
      </c>
      <c r="U95" s="126">
        <f>1/COUNTIF(OB_Act[Dummy_DT/Exc],OB_Act[[#This Row],[Dummy_DT/Exc]])</f>
        <v>4.1841004184100415E-3</v>
      </c>
      <c r="V95" s="126" t="e">
        <f>VLOOKUP(OB_Act[[#This Row],[Day]],$AO$2:$AR$32,4,0)</f>
        <v>#N/A</v>
      </c>
      <c r="W95" s="126" t="e">
        <f>VLOOKUP(OB_Act[[#This Row],[Dump Area]],$AE$2:$AF$51,2,0)</f>
        <v>#N/A</v>
      </c>
      <c r="X95" s="126" t="str">
        <f>OB_Act[[#This Row],[Excavator]]&amp;OB_Act[[#This Row],[Contractor]]</f>
        <v/>
      </c>
      <c r="Y95" s="126" t="e">
        <f>IF(OB_Act[[#This Row],[Material]]="MUD",VLOOKUP(OB_Act[[#This Row],[Dump Truck]],Type_mud[[Nama DT]:[Type]],2,0),VLOOKUP(OB_Act[[#This Row],[Dump Truck]],Type_DT_OB[[Nama DT]:[Type]],4,0))</f>
        <v>#N/A</v>
      </c>
      <c r="Z95" s="126" t="e">
        <f>"JBG-OP1-CENTRAL-"&amp;VLOOKUP(OB_Act[[#This Row],[Pit]],$AK$2:$AL$9,2,0)&amp;"-WASTE-"&amp;OB_Act[[#This Row],[Material]]</f>
        <v>#N/A</v>
      </c>
      <c r="AA95" s="126" t="e">
        <f>"JBG-DUMP1-"&amp;VLOOKUP(OB_Act[[#This Row],[Dump]],$AF$2:$AG$55,2,0)&amp;"-"&amp;OB_Act[[#This Row],[Material]]</f>
        <v>#N/A</v>
      </c>
      <c r="AB95" s="126" t="str">
        <f>"JBG-"&amp;OB_Act[[#This Row],[Material]]</f>
        <v>JBG-</v>
      </c>
      <c r="BD95" s="105" t="str">
        <f>RIGHT(Type_DT_OB[[#This Row],[Nama DT]],3)</f>
        <v>936</v>
      </c>
      <c r="BE95" s="105" t="s">
        <v>471</v>
      </c>
      <c r="BF95" s="105">
        <v>11</v>
      </c>
      <c r="BG95" s="105">
        <v>10</v>
      </c>
      <c r="BH95" s="105" t="s">
        <v>467</v>
      </c>
      <c r="BI95" s="105" t="s">
        <v>431</v>
      </c>
      <c r="BK95" s="105" t="str">
        <f>RIGHT(Type_mud[[#This Row],[Nama DT]],3)</f>
        <v>936</v>
      </c>
      <c r="BL95" s="105" t="s">
        <v>471</v>
      </c>
      <c r="BM95" s="105" t="s">
        <v>656</v>
      </c>
    </row>
    <row r="96" spans="13:65">
      <c r="M96" s="105">
        <f>OB_Act[[#This Row],[Volume (BCM)]]*OB_Act[[#This Row],[Distance (Meter)]]</f>
        <v>0</v>
      </c>
      <c r="N96" s="105" t="str">
        <f>LEFT(OB_Act[[#This Row],[Dump Truck]],3)</f>
        <v/>
      </c>
      <c r="O96" s="126" t="str">
        <f>OB_Act[[#This Row],[Day]]&amp;OB_Act[[#This Row],[Excavator]]&amp;OB_Act[[#This Row],[Contractor]]&amp;OB_Act[[#This Row],[Pit]]&amp;OB_Act[[#This Row],[Shift]]</f>
        <v/>
      </c>
      <c r="P96" s="126">
        <f>1/COUNTIF(OB_Act[Dummy_Exc],OB_Act[[#This Row],[Dummy_Exc]])</f>
        <v>4.1841004184100415E-3</v>
      </c>
      <c r="Q96" s="105" t="str">
        <f>OB_Act[[#This Row],[Day]]&amp;OB_Act[[#This Row],[Dump Truck]]&amp;OB_Act[[#This Row],[Pit]]&amp;OB_Act[[#This Row],[Shift]]</f>
        <v/>
      </c>
      <c r="R96" s="126">
        <f>1/COUNTIF(OB_Act[Dummy_DT],OB_Act[[#This Row],[Dummy_DT]])</f>
        <v>4.1841004184100415E-3</v>
      </c>
      <c r="S96" s="126">
        <f>OB_Act[[#This Row],[Distance (Meter)]]*OB_Act[[#This Row],[Volume (BCM)]]</f>
        <v>0</v>
      </c>
      <c r="T96" s="105" t="str">
        <f>OB_Act[[#This Row],[Day]]&amp;OB_Act[[#This Row],[Dump Truck]]&amp;OB_Act[[#This Row],[Contractor]]&amp;OB_Act[[#This Row],[Excavator]]&amp;OB_Act[[#This Row],[Shift]]</f>
        <v/>
      </c>
      <c r="U96" s="126">
        <f>1/COUNTIF(OB_Act[Dummy_DT/Exc],OB_Act[[#This Row],[Dummy_DT/Exc]])</f>
        <v>4.1841004184100415E-3</v>
      </c>
      <c r="V96" s="126" t="e">
        <f>VLOOKUP(OB_Act[[#This Row],[Day]],$AO$2:$AR$32,4,0)</f>
        <v>#N/A</v>
      </c>
      <c r="W96" s="126" t="e">
        <f>VLOOKUP(OB_Act[[#This Row],[Dump Area]],$AE$2:$AF$51,2,0)</f>
        <v>#N/A</v>
      </c>
      <c r="X96" s="126" t="str">
        <f>OB_Act[[#This Row],[Excavator]]&amp;OB_Act[[#This Row],[Contractor]]</f>
        <v/>
      </c>
      <c r="Y96" s="126" t="e">
        <f>IF(OB_Act[[#This Row],[Material]]="MUD",VLOOKUP(OB_Act[[#This Row],[Dump Truck]],Type_mud[[Nama DT]:[Type]],2,0),VLOOKUP(OB_Act[[#This Row],[Dump Truck]],Type_DT_OB[[Nama DT]:[Type]],4,0))</f>
        <v>#N/A</v>
      </c>
      <c r="Z96" s="126" t="e">
        <f>"JBG-OP1-CENTRAL-"&amp;VLOOKUP(OB_Act[[#This Row],[Pit]],$AK$2:$AL$9,2,0)&amp;"-WASTE-"&amp;OB_Act[[#This Row],[Material]]</f>
        <v>#N/A</v>
      </c>
      <c r="AA96" s="126" t="e">
        <f>"JBG-DUMP1-"&amp;VLOOKUP(OB_Act[[#This Row],[Dump]],$AF$2:$AG$55,2,0)&amp;"-"&amp;OB_Act[[#This Row],[Material]]</f>
        <v>#N/A</v>
      </c>
      <c r="AB96" s="126" t="str">
        <f>"JBG-"&amp;OB_Act[[#This Row],[Material]]</f>
        <v>JBG-</v>
      </c>
      <c r="BD96" s="105" t="str">
        <f>RIGHT(Type_DT_OB[[#This Row],[Nama DT]],3)</f>
        <v>937</v>
      </c>
      <c r="BE96" s="105" t="s">
        <v>472</v>
      </c>
      <c r="BF96" s="105">
        <v>11</v>
      </c>
      <c r="BG96" s="105">
        <v>10</v>
      </c>
      <c r="BH96" s="105" t="s">
        <v>467</v>
      </c>
      <c r="BI96" s="105" t="s">
        <v>431</v>
      </c>
      <c r="BK96" s="105" t="str">
        <f>RIGHT(Type_mud[[#This Row],[Nama DT]],3)</f>
        <v>937</v>
      </c>
      <c r="BL96" s="105" t="s">
        <v>472</v>
      </c>
      <c r="BM96" s="105" t="s">
        <v>656</v>
      </c>
    </row>
    <row r="97" spans="13:65">
      <c r="M97" s="105">
        <f>OB_Act[[#This Row],[Volume (BCM)]]*OB_Act[[#This Row],[Distance (Meter)]]</f>
        <v>0</v>
      </c>
      <c r="N97" s="105" t="str">
        <f>LEFT(OB_Act[[#This Row],[Dump Truck]],3)</f>
        <v/>
      </c>
      <c r="O97" s="126" t="str">
        <f>OB_Act[[#This Row],[Day]]&amp;OB_Act[[#This Row],[Excavator]]&amp;OB_Act[[#This Row],[Contractor]]&amp;OB_Act[[#This Row],[Pit]]&amp;OB_Act[[#This Row],[Shift]]</f>
        <v/>
      </c>
      <c r="P97" s="126">
        <f>1/COUNTIF(OB_Act[Dummy_Exc],OB_Act[[#This Row],[Dummy_Exc]])</f>
        <v>4.1841004184100415E-3</v>
      </c>
      <c r="Q97" s="105" t="str">
        <f>OB_Act[[#This Row],[Day]]&amp;OB_Act[[#This Row],[Dump Truck]]&amp;OB_Act[[#This Row],[Pit]]&amp;OB_Act[[#This Row],[Shift]]</f>
        <v/>
      </c>
      <c r="R97" s="126">
        <f>1/COUNTIF(OB_Act[Dummy_DT],OB_Act[[#This Row],[Dummy_DT]])</f>
        <v>4.1841004184100415E-3</v>
      </c>
      <c r="S97" s="126">
        <f>OB_Act[[#This Row],[Distance (Meter)]]*OB_Act[[#This Row],[Volume (BCM)]]</f>
        <v>0</v>
      </c>
      <c r="T97" s="105" t="str">
        <f>OB_Act[[#This Row],[Day]]&amp;OB_Act[[#This Row],[Dump Truck]]&amp;OB_Act[[#This Row],[Contractor]]&amp;OB_Act[[#This Row],[Excavator]]&amp;OB_Act[[#This Row],[Shift]]</f>
        <v/>
      </c>
      <c r="U97" s="126">
        <f>1/COUNTIF(OB_Act[Dummy_DT/Exc],OB_Act[[#This Row],[Dummy_DT/Exc]])</f>
        <v>4.1841004184100415E-3</v>
      </c>
      <c r="V97" s="126" t="e">
        <f>VLOOKUP(OB_Act[[#This Row],[Day]],$AO$2:$AR$32,4,0)</f>
        <v>#N/A</v>
      </c>
      <c r="W97" s="126" t="e">
        <f>VLOOKUP(OB_Act[[#This Row],[Dump Area]],$AE$2:$AF$51,2,0)</f>
        <v>#N/A</v>
      </c>
      <c r="X97" s="126" t="str">
        <f>OB_Act[[#This Row],[Excavator]]&amp;OB_Act[[#This Row],[Contractor]]</f>
        <v/>
      </c>
      <c r="Y97" s="126" t="e">
        <f>IF(OB_Act[[#This Row],[Material]]="MUD",VLOOKUP(OB_Act[[#This Row],[Dump Truck]],Type_mud[[Nama DT]:[Type]],2,0),VLOOKUP(OB_Act[[#This Row],[Dump Truck]],Type_DT_OB[[Nama DT]:[Type]],4,0))</f>
        <v>#N/A</v>
      </c>
      <c r="Z97" s="126" t="e">
        <f>"JBG-OP1-CENTRAL-"&amp;VLOOKUP(OB_Act[[#This Row],[Pit]],$AK$2:$AL$9,2,0)&amp;"-WASTE-"&amp;OB_Act[[#This Row],[Material]]</f>
        <v>#N/A</v>
      </c>
      <c r="AA97" s="126" t="e">
        <f>"JBG-DUMP1-"&amp;VLOOKUP(OB_Act[[#This Row],[Dump]],$AF$2:$AG$55,2,0)&amp;"-"&amp;OB_Act[[#This Row],[Material]]</f>
        <v>#N/A</v>
      </c>
      <c r="AB97" s="126" t="str">
        <f>"JBG-"&amp;OB_Act[[#This Row],[Material]]</f>
        <v>JBG-</v>
      </c>
      <c r="BD97" s="105" t="str">
        <f>RIGHT(Type_DT_OB[[#This Row],[Nama DT]],3)</f>
        <v>938</v>
      </c>
      <c r="BE97" s="105" t="s">
        <v>473</v>
      </c>
      <c r="BF97" s="105">
        <v>11</v>
      </c>
      <c r="BG97" s="105">
        <v>10</v>
      </c>
      <c r="BH97" s="105" t="s">
        <v>467</v>
      </c>
      <c r="BI97" s="105" t="s">
        <v>431</v>
      </c>
      <c r="BK97" s="105" t="str">
        <f>RIGHT(Type_mud[[#This Row],[Nama DT]],3)</f>
        <v>938</v>
      </c>
      <c r="BL97" s="105" t="s">
        <v>473</v>
      </c>
      <c r="BM97" s="105" t="s">
        <v>656</v>
      </c>
    </row>
    <row r="98" spans="13:65">
      <c r="M98" s="105">
        <f>OB_Act[[#This Row],[Volume (BCM)]]*OB_Act[[#This Row],[Distance (Meter)]]</f>
        <v>0</v>
      </c>
      <c r="N98" s="105" t="str">
        <f>LEFT(OB_Act[[#This Row],[Dump Truck]],3)</f>
        <v/>
      </c>
      <c r="O98" s="126" t="str">
        <f>OB_Act[[#This Row],[Day]]&amp;OB_Act[[#This Row],[Excavator]]&amp;OB_Act[[#This Row],[Contractor]]&amp;OB_Act[[#This Row],[Pit]]&amp;OB_Act[[#This Row],[Shift]]</f>
        <v/>
      </c>
      <c r="P98" s="126">
        <f>1/COUNTIF(OB_Act[Dummy_Exc],OB_Act[[#This Row],[Dummy_Exc]])</f>
        <v>4.1841004184100415E-3</v>
      </c>
      <c r="Q98" s="105" t="str">
        <f>OB_Act[[#This Row],[Day]]&amp;OB_Act[[#This Row],[Dump Truck]]&amp;OB_Act[[#This Row],[Pit]]&amp;OB_Act[[#This Row],[Shift]]</f>
        <v/>
      </c>
      <c r="R98" s="126">
        <f>1/COUNTIF(OB_Act[Dummy_DT],OB_Act[[#This Row],[Dummy_DT]])</f>
        <v>4.1841004184100415E-3</v>
      </c>
      <c r="S98" s="126">
        <f>OB_Act[[#This Row],[Distance (Meter)]]*OB_Act[[#This Row],[Volume (BCM)]]</f>
        <v>0</v>
      </c>
      <c r="T98" s="105" t="str">
        <f>OB_Act[[#This Row],[Day]]&amp;OB_Act[[#This Row],[Dump Truck]]&amp;OB_Act[[#This Row],[Contractor]]&amp;OB_Act[[#This Row],[Excavator]]&amp;OB_Act[[#This Row],[Shift]]</f>
        <v/>
      </c>
      <c r="U98" s="126">
        <f>1/COUNTIF(OB_Act[Dummy_DT/Exc],OB_Act[[#This Row],[Dummy_DT/Exc]])</f>
        <v>4.1841004184100415E-3</v>
      </c>
      <c r="V98" s="126" t="e">
        <f>VLOOKUP(OB_Act[[#This Row],[Day]],$AO$2:$AR$32,4,0)</f>
        <v>#N/A</v>
      </c>
      <c r="W98" s="126" t="e">
        <f>VLOOKUP(OB_Act[[#This Row],[Dump Area]],$AE$2:$AF$51,2,0)</f>
        <v>#N/A</v>
      </c>
      <c r="X98" s="126" t="str">
        <f>OB_Act[[#This Row],[Excavator]]&amp;OB_Act[[#This Row],[Contractor]]</f>
        <v/>
      </c>
      <c r="Y98" s="126" t="e">
        <f>IF(OB_Act[[#This Row],[Material]]="MUD",VLOOKUP(OB_Act[[#This Row],[Dump Truck]],Type_mud[[Nama DT]:[Type]],2,0),VLOOKUP(OB_Act[[#This Row],[Dump Truck]],Type_DT_OB[[Nama DT]:[Type]],4,0))</f>
        <v>#N/A</v>
      </c>
      <c r="Z98" s="126" t="e">
        <f>"JBG-OP1-CENTRAL-"&amp;VLOOKUP(OB_Act[[#This Row],[Pit]],$AK$2:$AL$9,2,0)&amp;"-WASTE-"&amp;OB_Act[[#This Row],[Material]]</f>
        <v>#N/A</v>
      </c>
      <c r="AA98" s="126" t="e">
        <f>"JBG-DUMP1-"&amp;VLOOKUP(OB_Act[[#This Row],[Dump]],$AF$2:$AG$55,2,0)&amp;"-"&amp;OB_Act[[#This Row],[Material]]</f>
        <v>#N/A</v>
      </c>
      <c r="AB98" s="126" t="str">
        <f>"JBG-"&amp;OB_Act[[#This Row],[Material]]</f>
        <v>JBG-</v>
      </c>
      <c r="BD98" s="105" t="str">
        <f>RIGHT(Type_DT_OB[[#This Row],[Nama DT]],3)</f>
        <v>939</v>
      </c>
      <c r="BE98" s="105" t="s">
        <v>474</v>
      </c>
      <c r="BF98" s="105">
        <v>11</v>
      </c>
      <c r="BG98" s="105">
        <v>10</v>
      </c>
      <c r="BH98" s="105" t="s">
        <v>467</v>
      </c>
      <c r="BI98" s="105" t="s">
        <v>431</v>
      </c>
      <c r="BK98" s="105" t="str">
        <f>RIGHT(Type_mud[[#This Row],[Nama DT]],3)</f>
        <v>939</v>
      </c>
      <c r="BL98" s="105" t="s">
        <v>474</v>
      </c>
      <c r="BM98" s="105" t="s">
        <v>656</v>
      </c>
    </row>
    <row r="99" spans="13:65">
      <c r="M99" s="105">
        <f>OB_Act[[#This Row],[Volume (BCM)]]*OB_Act[[#This Row],[Distance (Meter)]]</f>
        <v>0</v>
      </c>
      <c r="N99" s="105" t="str">
        <f>LEFT(OB_Act[[#This Row],[Dump Truck]],3)</f>
        <v/>
      </c>
      <c r="O99" s="126" t="str">
        <f>OB_Act[[#This Row],[Day]]&amp;OB_Act[[#This Row],[Excavator]]&amp;OB_Act[[#This Row],[Contractor]]&amp;OB_Act[[#This Row],[Pit]]&amp;OB_Act[[#This Row],[Shift]]</f>
        <v/>
      </c>
      <c r="P99" s="126">
        <f>1/COUNTIF(OB_Act[Dummy_Exc],OB_Act[[#This Row],[Dummy_Exc]])</f>
        <v>4.1841004184100415E-3</v>
      </c>
      <c r="Q99" s="105" t="str">
        <f>OB_Act[[#This Row],[Day]]&amp;OB_Act[[#This Row],[Dump Truck]]&amp;OB_Act[[#This Row],[Pit]]&amp;OB_Act[[#This Row],[Shift]]</f>
        <v/>
      </c>
      <c r="R99" s="126">
        <f>1/COUNTIF(OB_Act[Dummy_DT],OB_Act[[#This Row],[Dummy_DT]])</f>
        <v>4.1841004184100415E-3</v>
      </c>
      <c r="S99" s="126">
        <f>OB_Act[[#This Row],[Distance (Meter)]]*OB_Act[[#This Row],[Volume (BCM)]]</f>
        <v>0</v>
      </c>
      <c r="T99" s="105" t="str">
        <f>OB_Act[[#This Row],[Day]]&amp;OB_Act[[#This Row],[Dump Truck]]&amp;OB_Act[[#This Row],[Contractor]]&amp;OB_Act[[#This Row],[Excavator]]&amp;OB_Act[[#This Row],[Shift]]</f>
        <v/>
      </c>
      <c r="U99" s="126">
        <f>1/COUNTIF(OB_Act[Dummy_DT/Exc],OB_Act[[#This Row],[Dummy_DT/Exc]])</f>
        <v>4.1841004184100415E-3</v>
      </c>
      <c r="V99" s="126" t="e">
        <f>VLOOKUP(OB_Act[[#This Row],[Day]],$AO$2:$AR$32,4,0)</f>
        <v>#N/A</v>
      </c>
      <c r="W99" s="126" t="e">
        <f>VLOOKUP(OB_Act[[#This Row],[Dump Area]],$AE$2:$AF$51,2,0)</f>
        <v>#N/A</v>
      </c>
      <c r="X99" s="126" t="str">
        <f>OB_Act[[#This Row],[Excavator]]&amp;OB_Act[[#This Row],[Contractor]]</f>
        <v/>
      </c>
      <c r="Y99" s="126" t="e">
        <f>IF(OB_Act[[#This Row],[Material]]="MUD",VLOOKUP(OB_Act[[#This Row],[Dump Truck]],Type_mud[[Nama DT]:[Type]],2,0),VLOOKUP(OB_Act[[#This Row],[Dump Truck]],Type_DT_OB[[Nama DT]:[Type]],4,0))</f>
        <v>#N/A</v>
      </c>
      <c r="Z99" s="126" t="e">
        <f>"JBG-OP1-CENTRAL-"&amp;VLOOKUP(OB_Act[[#This Row],[Pit]],$AK$2:$AL$9,2,0)&amp;"-WASTE-"&amp;OB_Act[[#This Row],[Material]]</f>
        <v>#N/A</v>
      </c>
      <c r="AA99" s="126" t="e">
        <f>"JBG-DUMP1-"&amp;VLOOKUP(OB_Act[[#This Row],[Dump]],$AF$2:$AG$55,2,0)&amp;"-"&amp;OB_Act[[#This Row],[Material]]</f>
        <v>#N/A</v>
      </c>
      <c r="AB99" s="126" t="str">
        <f>"JBG-"&amp;OB_Act[[#This Row],[Material]]</f>
        <v>JBG-</v>
      </c>
      <c r="BD99" s="105" t="str">
        <f>RIGHT(Type_DT_OB[[#This Row],[Nama DT]],3)</f>
        <v>940</v>
      </c>
      <c r="BE99" s="105" t="s">
        <v>475</v>
      </c>
      <c r="BF99" s="105">
        <v>11</v>
      </c>
      <c r="BG99" s="105">
        <v>10</v>
      </c>
      <c r="BH99" s="105" t="s">
        <v>467</v>
      </c>
      <c r="BI99" s="105" t="s">
        <v>431</v>
      </c>
      <c r="BK99" s="105" t="str">
        <f>RIGHT(Type_mud[[#This Row],[Nama DT]],3)</f>
        <v>940</v>
      </c>
      <c r="BL99" s="105" t="s">
        <v>475</v>
      </c>
      <c r="BM99" s="105" t="s">
        <v>656</v>
      </c>
    </row>
    <row r="100" spans="13:65">
      <c r="M100" s="105">
        <f>OB_Act[[#This Row],[Volume (BCM)]]*OB_Act[[#This Row],[Distance (Meter)]]</f>
        <v>0</v>
      </c>
      <c r="N100" s="105" t="str">
        <f>LEFT(OB_Act[[#This Row],[Dump Truck]],3)</f>
        <v/>
      </c>
      <c r="O100" s="126" t="str">
        <f>OB_Act[[#This Row],[Day]]&amp;OB_Act[[#This Row],[Excavator]]&amp;OB_Act[[#This Row],[Contractor]]&amp;OB_Act[[#This Row],[Pit]]&amp;OB_Act[[#This Row],[Shift]]</f>
        <v/>
      </c>
      <c r="P100" s="126">
        <f>1/COUNTIF(OB_Act[Dummy_Exc],OB_Act[[#This Row],[Dummy_Exc]])</f>
        <v>4.1841004184100415E-3</v>
      </c>
      <c r="Q100" s="105" t="str">
        <f>OB_Act[[#This Row],[Day]]&amp;OB_Act[[#This Row],[Dump Truck]]&amp;OB_Act[[#This Row],[Pit]]&amp;OB_Act[[#This Row],[Shift]]</f>
        <v/>
      </c>
      <c r="R100" s="126">
        <f>1/COUNTIF(OB_Act[Dummy_DT],OB_Act[[#This Row],[Dummy_DT]])</f>
        <v>4.1841004184100415E-3</v>
      </c>
      <c r="S100" s="126">
        <f>OB_Act[[#This Row],[Distance (Meter)]]*OB_Act[[#This Row],[Volume (BCM)]]</f>
        <v>0</v>
      </c>
      <c r="T100" s="105" t="str">
        <f>OB_Act[[#This Row],[Day]]&amp;OB_Act[[#This Row],[Dump Truck]]&amp;OB_Act[[#This Row],[Contractor]]&amp;OB_Act[[#This Row],[Excavator]]&amp;OB_Act[[#This Row],[Shift]]</f>
        <v/>
      </c>
      <c r="U100" s="126">
        <f>1/COUNTIF(OB_Act[Dummy_DT/Exc],OB_Act[[#This Row],[Dummy_DT/Exc]])</f>
        <v>4.1841004184100415E-3</v>
      </c>
      <c r="V100" s="126" t="e">
        <f>VLOOKUP(OB_Act[[#This Row],[Day]],$AO$2:$AR$32,4,0)</f>
        <v>#N/A</v>
      </c>
      <c r="W100" s="126" t="e">
        <f>VLOOKUP(OB_Act[[#This Row],[Dump Area]],$AE$2:$AF$51,2,0)</f>
        <v>#N/A</v>
      </c>
      <c r="X100" s="126" t="str">
        <f>OB_Act[[#This Row],[Excavator]]&amp;OB_Act[[#This Row],[Contractor]]</f>
        <v/>
      </c>
      <c r="Y100" s="126" t="e">
        <f>IF(OB_Act[[#This Row],[Material]]="MUD",VLOOKUP(OB_Act[[#This Row],[Dump Truck]],Type_mud[[Nama DT]:[Type]],2,0),VLOOKUP(OB_Act[[#This Row],[Dump Truck]],Type_DT_OB[[Nama DT]:[Type]],4,0))</f>
        <v>#N/A</v>
      </c>
      <c r="Z100" s="126" t="e">
        <f>"JBG-OP1-CENTRAL-"&amp;VLOOKUP(OB_Act[[#This Row],[Pit]],$AK$2:$AL$9,2,0)&amp;"-WASTE-"&amp;OB_Act[[#This Row],[Material]]</f>
        <v>#N/A</v>
      </c>
      <c r="AA100" s="126" t="e">
        <f>"JBG-DUMP1-"&amp;VLOOKUP(OB_Act[[#This Row],[Dump]],$AF$2:$AG$55,2,0)&amp;"-"&amp;OB_Act[[#This Row],[Material]]</f>
        <v>#N/A</v>
      </c>
      <c r="AB100" s="126" t="str">
        <f>"JBG-"&amp;OB_Act[[#This Row],[Material]]</f>
        <v>JBG-</v>
      </c>
      <c r="BD100" s="105" t="str">
        <f>RIGHT(Type_DT_OB[[#This Row],[Nama DT]],3)</f>
        <v>951</v>
      </c>
      <c r="BE100" s="105" t="s">
        <v>476</v>
      </c>
      <c r="BF100" s="105">
        <v>11</v>
      </c>
      <c r="BG100" s="105">
        <v>10</v>
      </c>
      <c r="BH100" s="105" t="s">
        <v>467</v>
      </c>
      <c r="BI100" s="105" t="s">
        <v>431</v>
      </c>
      <c r="BK100" s="105" t="str">
        <f>RIGHT(Type_mud[[#This Row],[Nama DT]],3)</f>
        <v>951</v>
      </c>
      <c r="BL100" s="105" t="s">
        <v>476</v>
      </c>
      <c r="BM100" s="105" t="s">
        <v>656</v>
      </c>
    </row>
    <row r="101" spans="13:65">
      <c r="M101" s="105">
        <f>OB_Act[[#This Row],[Volume (BCM)]]*OB_Act[[#This Row],[Distance (Meter)]]</f>
        <v>0</v>
      </c>
      <c r="N101" s="105" t="str">
        <f>LEFT(OB_Act[[#This Row],[Dump Truck]],3)</f>
        <v/>
      </c>
      <c r="O101" s="126" t="str">
        <f>OB_Act[[#This Row],[Day]]&amp;OB_Act[[#This Row],[Excavator]]&amp;OB_Act[[#This Row],[Contractor]]&amp;OB_Act[[#This Row],[Pit]]&amp;OB_Act[[#This Row],[Shift]]</f>
        <v/>
      </c>
      <c r="P101" s="126">
        <f>1/COUNTIF(OB_Act[Dummy_Exc],OB_Act[[#This Row],[Dummy_Exc]])</f>
        <v>4.1841004184100415E-3</v>
      </c>
      <c r="Q101" s="105" t="str">
        <f>OB_Act[[#This Row],[Day]]&amp;OB_Act[[#This Row],[Dump Truck]]&amp;OB_Act[[#This Row],[Pit]]&amp;OB_Act[[#This Row],[Shift]]</f>
        <v/>
      </c>
      <c r="R101" s="126">
        <f>1/COUNTIF(OB_Act[Dummy_DT],OB_Act[[#This Row],[Dummy_DT]])</f>
        <v>4.1841004184100415E-3</v>
      </c>
      <c r="S101" s="126">
        <f>OB_Act[[#This Row],[Distance (Meter)]]*OB_Act[[#This Row],[Volume (BCM)]]</f>
        <v>0</v>
      </c>
      <c r="T101" s="105" t="str">
        <f>OB_Act[[#This Row],[Day]]&amp;OB_Act[[#This Row],[Dump Truck]]&amp;OB_Act[[#This Row],[Contractor]]&amp;OB_Act[[#This Row],[Excavator]]&amp;OB_Act[[#This Row],[Shift]]</f>
        <v/>
      </c>
      <c r="U101" s="126">
        <f>1/COUNTIF(OB_Act[Dummy_DT/Exc],OB_Act[[#This Row],[Dummy_DT/Exc]])</f>
        <v>4.1841004184100415E-3</v>
      </c>
      <c r="V101" s="126" t="e">
        <f>VLOOKUP(OB_Act[[#This Row],[Day]],$AO$2:$AR$32,4,0)</f>
        <v>#N/A</v>
      </c>
      <c r="W101" s="126" t="e">
        <f>VLOOKUP(OB_Act[[#This Row],[Dump Area]],$AE$2:$AF$51,2,0)</f>
        <v>#N/A</v>
      </c>
      <c r="X101" s="126" t="str">
        <f>OB_Act[[#This Row],[Excavator]]&amp;OB_Act[[#This Row],[Contractor]]</f>
        <v/>
      </c>
      <c r="Y101" s="126" t="e">
        <f>IF(OB_Act[[#This Row],[Material]]="MUD",VLOOKUP(OB_Act[[#This Row],[Dump Truck]],Type_mud[[Nama DT]:[Type]],2,0),VLOOKUP(OB_Act[[#This Row],[Dump Truck]],Type_DT_OB[[Nama DT]:[Type]],4,0))</f>
        <v>#N/A</v>
      </c>
      <c r="Z101" s="126" t="e">
        <f>"JBG-OP1-CENTRAL-"&amp;VLOOKUP(OB_Act[[#This Row],[Pit]],$AK$2:$AL$9,2,0)&amp;"-WASTE-"&amp;OB_Act[[#This Row],[Material]]</f>
        <v>#N/A</v>
      </c>
      <c r="AA101" s="126" t="e">
        <f>"JBG-DUMP1-"&amp;VLOOKUP(OB_Act[[#This Row],[Dump]],$AF$2:$AG$55,2,0)&amp;"-"&amp;OB_Act[[#This Row],[Material]]</f>
        <v>#N/A</v>
      </c>
      <c r="AB101" s="126" t="str">
        <f>"JBG-"&amp;OB_Act[[#This Row],[Material]]</f>
        <v>JBG-</v>
      </c>
      <c r="BD101" s="105" t="str">
        <f>RIGHT(Type_DT_OB[[#This Row],[Nama DT]],3)</f>
        <v>952</v>
      </c>
      <c r="BE101" s="105" t="s">
        <v>477</v>
      </c>
      <c r="BF101" s="105">
        <v>11</v>
      </c>
      <c r="BG101" s="105">
        <v>10</v>
      </c>
      <c r="BH101" s="105" t="s">
        <v>467</v>
      </c>
      <c r="BI101" s="105" t="s">
        <v>431</v>
      </c>
      <c r="BK101" s="105" t="str">
        <f>RIGHT(Type_mud[[#This Row],[Nama DT]],3)</f>
        <v>952</v>
      </c>
      <c r="BL101" s="105" t="s">
        <v>477</v>
      </c>
      <c r="BM101" s="105" t="s">
        <v>656</v>
      </c>
    </row>
    <row r="102" spans="13:65">
      <c r="M102" s="105">
        <f>OB_Act[[#This Row],[Volume (BCM)]]*OB_Act[[#This Row],[Distance (Meter)]]</f>
        <v>0</v>
      </c>
      <c r="N102" s="105" t="str">
        <f>LEFT(OB_Act[[#This Row],[Dump Truck]],3)</f>
        <v/>
      </c>
      <c r="O102" s="126" t="str">
        <f>OB_Act[[#This Row],[Day]]&amp;OB_Act[[#This Row],[Excavator]]&amp;OB_Act[[#This Row],[Contractor]]&amp;OB_Act[[#This Row],[Pit]]&amp;OB_Act[[#This Row],[Shift]]</f>
        <v/>
      </c>
      <c r="P102" s="126">
        <f>1/COUNTIF(OB_Act[Dummy_Exc],OB_Act[[#This Row],[Dummy_Exc]])</f>
        <v>4.1841004184100415E-3</v>
      </c>
      <c r="Q102" s="105" t="str">
        <f>OB_Act[[#This Row],[Day]]&amp;OB_Act[[#This Row],[Dump Truck]]&amp;OB_Act[[#This Row],[Pit]]&amp;OB_Act[[#This Row],[Shift]]</f>
        <v/>
      </c>
      <c r="R102" s="126">
        <f>1/COUNTIF(OB_Act[Dummy_DT],OB_Act[[#This Row],[Dummy_DT]])</f>
        <v>4.1841004184100415E-3</v>
      </c>
      <c r="S102" s="126">
        <f>OB_Act[[#This Row],[Distance (Meter)]]*OB_Act[[#This Row],[Volume (BCM)]]</f>
        <v>0</v>
      </c>
      <c r="T102" s="105" t="str">
        <f>OB_Act[[#This Row],[Day]]&amp;OB_Act[[#This Row],[Dump Truck]]&amp;OB_Act[[#This Row],[Contractor]]&amp;OB_Act[[#This Row],[Excavator]]&amp;OB_Act[[#This Row],[Shift]]</f>
        <v/>
      </c>
      <c r="U102" s="126">
        <f>1/COUNTIF(OB_Act[Dummy_DT/Exc],OB_Act[[#This Row],[Dummy_DT/Exc]])</f>
        <v>4.1841004184100415E-3</v>
      </c>
      <c r="V102" s="126" t="e">
        <f>VLOOKUP(OB_Act[[#This Row],[Day]],$AO$2:$AR$32,4,0)</f>
        <v>#N/A</v>
      </c>
      <c r="W102" s="126" t="e">
        <f>VLOOKUP(OB_Act[[#This Row],[Dump Area]],$AE$2:$AF$51,2,0)</f>
        <v>#N/A</v>
      </c>
      <c r="X102" s="126" t="str">
        <f>OB_Act[[#This Row],[Excavator]]&amp;OB_Act[[#This Row],[Contractor]]</f>
        <v/>
      </c>
      <c r="Y102" s="126" t="e">
        <f>IF(OB_Act[[#This Row],[Material]]="MUD",VLOOKUP(OB_Act[[#This Row],[Dump Truck]],Type_mud[[Nama DT]:[Type]],2,0),VLOOKUP(OB_Act[[#This Row],[Dump Truck]],Type_DT_OB[[Nama DT]:[Type]],4,0))</f>
        <v>#N/A</v>
      </c>
      <c r="Z102" s="126" t="e">
        <f>"JBG-OP1-CENTRAL-"&amp;VLOOKUP(OB_Act[[#This Row],[Pit]],$AK$2:$AL$9,2,0)&amp;"-WASTE-"&amp;OB_Act[[#This Row],[Material]]</f>
        <v>#N/A</v>
      </c>
      <c r="AA102" s="126" t="e">
        <f>"JBG-DUMP1-"&amp;VLOOKUP(OB_Act[[#This Row],[Dump]],$AF$2:$AG$55,2,0)&amp;"-"&amp;OB_Act[[#This Row],[Material]]</f>
        <v>#N/A</v>
      </c>
      <c r="AB102" s="126" t="str">
        <f>"JBG-"&amp;OB_Act[[#This Row],[Material]]</f>
        <v>JBG-</v>
      </c>
      <c r="BD102" s="105" t="str">
        <f>RIGHT(Type_DT_OB[[#This Row],[Nama DT]],3)</f>
        <v>953</v>
      </c>
      <c r="BE102" s="105" t="s">
        <v>478</v>
      </c>
      <c r="BF102" s="105">
        <v>11</v>
      </c>
      <c r="BG102" s="105">
        <v>10</v>
      </c>
      <c r="BH102" s="105" t="s">
        <v>467</v>
      </c>
      <c r="BI102" s="105" t="s">
        <v>431</v>
      </c>
      <c r="BK102" s="105" t="str">
        <f>RIGHT(Type_mud[[#This Row],[Nama DT]],3)</f>
        <v>953</v>
      </c>
      <c r="BL102" s="105" t="s">
        <v>478</v>
      </c>
      <c r="BM102" s="105" t="s">
        <v>656</v>
      </c>
    </row>
    <row r="103" spans="13:65">
      <c r="M103" s="105">
        <f>OB_Act[[#This Row],[Volume (BCM)]]*OB_Act[[#This Row],[Distance (Meter)]]</f>
        <v>0</v>
      </c>
      <c r="N103" s="105" t="str">
        <f>LEFT(OB_Act[[#This Row],[Dump Truck]],3)</f>
        <v/>
      </c>
      <c r="O103" s="126" t="str">
        <f>OB_Act[[#This Row],[Day]]&amp;OB_Act[[#This Row],[Excavator]]&amp;OB_Act[[#This Row],[Contractor]]&amp;OB_Act[[#This Row],[Pit]]&amp;OB_Act[[#This Row],[Shift]]</f>
        <v/>
      </c>
      <c r="P103" s="126">
        <f>1/COUNTIF(OB_Act[Dummy_Exc],OB_Act[[#This Row],[Dummy_Exc]])</f>
        <v>4.1841004184100415E-3</v>
      </c>
      <c r="Q103" s="105" t="str">
        <f>OB_Act[[#This Row],[Day]]&amp;OB_Act[[#This Row],[Dump Truck]]&amp;OB_Act[[#This Row],[Pit]]&amp;OB_Act[[#This Row],[Shift]]</f>
        <v/>
      </c>
      <c r="R103" s="126">
        <f>1/COUNTIF(OB_Act[Dummy_DT],OB_Act[[#This Row],[Dummy_DT]])</f>
        <v>4.1841004184100415E-3</v>
      </c>
      <c r="S103" s="126">
        <f>OB_Act[[#This Row],[Distance (Meter)]]*OB_Act[[#This Row],[Volume (BCM)]]</f>
        <v>0</v>
      </c>
      <c r="T103" s="105" t="str">
        <f>OB_Act[[#This Row],[Day]]&amp;OB_Act[[#This Row],[Dump Truck]]&amp;OB_Act[[#This Row],[Contractor]]&amp;OB_Act[[#This Row],[Excavator]]&amp;OB_Act[[#This Row],[Shift]]</f>
        <v/>
      </c>
      <c r="U103" s="126">
        <f>1/COUNTIF(OB_Act[Dummy_DT/Exc],OB_Act[[#This Row],[Dummy_DT/Exc]])</f>
        <v>4.1841004184100415E-3</v>
      </c>
      <c r="V103" s="126" t="e">
        <f>VLOOKUP(OB_Act[[#This Row],[Day]],$AO$2:$AR$32,4,0)</f>
        <v>#N/A</v>
      </c>
      <c r="W103" s="126" t="e">
        <f>VLOOKUP(OB_Act[[#This Row],[Dump Area]],$AE$2:$AF$51,2,0)</f>
        <v>#N/A</v>
      </c>
      <c r="X103" s="126" t="str">
        <f>OB_Act[[#This Row],[Excavator]]&amp;OB_Act[[#This Row],[Contractor]]</f>
        <v/>
      </c>
      <c r="Y103" s="126" t="e">
        <f>IF(OB_Act[[#This Row],[Material]]="MUD",VLOOKUP(OB_Act[[#This Row],[Dump Truck]],Type_mud[[Nama DT]:[Type]],2,0),VLOOKUP(OB_Act[[#This Row],[Dump Truck]],Type_DT_OB[[Nama DT]:[Type]],4,0))</f>
        <v>#N/A</v>
      </c>
      <c r="Z103" s="126" t="e">
        <f>"JBG-OP1-CENTRAL-"&amp;VLOOKUP(OB_Act[[#This Row],[Pit]],$AK$2:$AL$9,2,0)&amp;"-WASTE-"&amp;OB_Act[[#This Row],[Material]]</f>
        <v>#N/A</v>
      </c>
      <c r="AA103" s="126" t="e">
        <f>"JBG-DUMP1-"&amp;VLOOKUP(OB_Act[[#This Row],[Dump]],$AF$2:$AG$55,2,0)&amp;"-"&amp;OB_Act[[#This Row],[Material]]</f>
        <v>#N/A</v>
      </c>
      <c r="AB103" s="126" t="str">
        <f>"JBG-"&amp;OB_Act[[#This Row],[Material]]</f>
        <v>JBG-</v>
      </c>
      <c r="BD103" s="105" t="str">
        <f>RIGHT(Type_DT_OB[[#This Row],[Nama DT]],3)</f>
        <v>954</v>
      </c>
      <c r="BE103" s="105" t="s">
        <v>479</v>
      </c>
      <c r="BF103" s="105">
        <v>11</v>
      </c>
      <c r="BG103" s="105">
        <v>10</v>
      </c>
      <c r="BH103" s="105" t="s">
        <v>467</v>
      </c>
      <c r="BI103" s="105" t="s">
        <v>431</v>
      </c>
      <c r="BK103" s="105" t="str">
        <f>RIGHT(Type_mud[[#This Row],[Nama DT]],3)</f>
        <v>954</v>
      </c>
      <c r="BL103" s="105" t="s">
        <v>479</v>
      </c>
      <c r="BM103" s="105" t="s">
        <v>656</v>
      </c>
    </row>
    <row r="104" spans="13:65">
      <c r="M104" s="105">
        <f>OB_Act[[#This Row],[Volume (BCM)]]*OB_Act[[#This Row],[Distance (Meter)]]</f>
        <v>0</v>
      </c>
      <c r="N104" s="105" t="str">
        <f>LEFT(OB_Act[[#This Row],[Dump Truck]],3)</f>
        <v/>
      </c>
      <c r="O104" s="126" t="str">
        <f>OB_Act[[#This Row],[Day]]&amp;OB_Act[[#This Row],[Excavator]]&amp;OB_Act[[#This Row],[Contractor]]&amp;OB_Act[[#This Row],[Pit]]&amp;OB_Act[[#This Row],[Shift]]</f>
        <v/>
      </c>
      <c r="P104" s="126">
        <f>1/COUNTIF(OB_Act[Dummy_Exc],OB_Act[[#This Row],[Dummy_Exc]])</f>
        <v>4.1841004184100415E-3</v>
      </c>
      <c r="Q104" s="105" t="str">
        <f>OB_Act[[#This Row],[Day]]&amp;OB_Act[[#This Row],[Dump Truck]]&amp;OB_Act[[#This Row],[Pit]]&amp;OB_Act[[#This Row],[Shift]]</f>
        <v/>
      </c>
      <c r="R104" s="126">
        <f>1/COUNTIF(OB_Act[Dummy_DT],OB_Act[[#This Row],[Dummy_DT]])</f>
        <v>4.1841004184100415E-3</v>
      </c>
      <c r="S104" s="126">
        <f>OB_Act[[#This Row],[Distance (Meter)]]*OB_Act[[#This Row],[Volume (BCM)]]</f>
        <v>0</v>
      </c>
      <c r="T104" s="105" t="str">
        <f>OB_Act[[#This Row],[Day]]&amp;OB_Act[[#This Row],[Dump Truck]]&amp;OB_Act[[#This Row],[Contractor]]&amp;OB_Act[[#This Row],[Excavator]]&amp;OB_Act[[#This Row],[Shift]]</f>
        <v/>
      </c>
      <c r="U104" s="126">
        <f>1/COUNTIF(OB_Act[Dummy_DT/Exc],OB_Act[[#This Row],[Dummy_DT/Exc]])</f>
        <v>4.1841004184100415E-3</v>
      </c>
      <c r="V104" s="126" t="e">
        <f>VLOOKUP(OB_Act[[#This Row],[Day]],$AO$2:$AR$32,4,0)</f>
        <v>#N/A</v>
      </c>
      <c r="W104" s="126" t="e">
        <f>VLOOKUP(OB_Act[[#This Row],[Dump Area]],$AE$2:$AF$51,2,0)</f>
        <v>#N/A</v>
      </c>
      <c r="X104" s="126" t="str">
        <f>OB_Act[[#This Row],[Excavator]]&amp;OB_Act[[#This Row],[Contractor]]</f>
        <v/>
      </c>
      <c r="Y104" s="126" t="e">
        <f>IF(OB_Act[[#This Row],[Material]]="MUD",VLOOKUP(OB_Act[[#This Row],[Dump Truck]],Type_mud[[Nama DT]:[Type]],2,0),VLOOKUP(OB_Act[[#This Row],[Dump Truck]],Type_DT_OB[[Nama DT]:[Type]],4,0))</f>
        <v>#N/A</v>
      </c>
      <c r="Z104" s="126" t="e">
        <f>"JBG-OP1-CENTRAL-"&amp;VLOOKUP(OB_Act[[#This Row],[Pit]],$AK$2:$AL$9,2,0)&amp;"-WASTE-"&amp;OB_Act[[#This Row],[Material]]</f>
        <v>#N/A</v>
      </c>
      <c r="AA104" s="126" t="e">
        <f>"JBG-DUMP1-"&amp;VLOOKUP(OB_Act[[#This Row],[Dump]],$AF$2:$AG$55,2,0)&amp;"-"&amp;OB_Act[[#This Row],[Material]]</f>
        <v>#N/A</v>
      </c>
      <c r="AB104" s="126" t="str">
        <f>"JBG-"&amp;OB_Act[[#This Row],[Material]]</f>
        <v>JBG-</v>
      </c>
      <c r="BD104" s="105" t="str">
        <f>RIGHT(Type_DT_OB[[#This Row],[Nama DT]],3)</f>
        <v>955</v>
      </c>
      <c r="BE104" s="105" t="s">
        <v>480</v>
      </c>
      <c r="BF104" s="105">
        <v>11</v>
      </c>
      <c r="BG104" s="105">
        <v>10</v>
      </c>
      <c r="BH104" s="105" t="s">
        <v>467</v>
      </c>
      <c r="BI104" s="105" t="s">
        <v>431</v>
      </c>
      <c r="BK104" s="105" t="str">
        <f>RIGHT(Type_mud[[#This Row],[Nama DT]],3)</f>
        <v>955</v>
      </c>
      <c r="BL104" s="105" t="s">
        <v>480</v>
      </c>
      <c r="BM104" s="105" t="s">
        <v>656</v>
      </c>
    </row>
    <row r="105" spans="13:65">
      <c r="M105" s="105">
        <f>OB_Act[[#This Row],[Volume (BCM)]]*OB_Act[[#This Row],[Distance (Meter)]]</f>
        <v>0</v>
      </c>
      <c r="N105" s="105" t="str">
        <f>LEFT(OB_Act[[#This Row],[Dump Truck]],3)</f>
        <v/>
      </c>
      <c r="O105" s="126" t="str">
        <f>OB_Act[[#This Row],[Day]]&amp;OB_Act[[#This Row],[Excavator]]&amp;OB_Act[[#This Row],[Contractor]]&amp;OB_Act[[#This Row],[Pit]]&amp;OB_Act[[#This Row],[Shift]]</f>
        <v/>
      </c>
      <c r="P105" s="126">
        <f>1/COUNTIF(OB_Act[Dummy_Exc],OB_Act[[#This Row],[Dummy_Exc]])</f>
        <v>4.1841004184100415E-3</v>
      </c>
      <c r="Q105" s="105" t="str">
        <f>OB_Act[[#This Row],[Day]]&amp;OB_Act[[#This Row],[Dump Truck]]&amp;OB_Act[[#This Row],[Pit]]&amp;OB_Act[[#This Row],[Shift]]</f>
        <v/>
      </c>
      <c r="R105" s="126">
        <f>1/COUNTIF(OB_Act[Dummy_DT],OB_Act[[#This Row],[Dummy_DT]])</f>
        <v>4.1841004184100415E-3</v>
      </c>
      <c r="S105" s="126">
        <f>OB_Act[[#This Row],[Distance (Meter)]]*OB_Act[[#This Row],[Volume (BCM)]]</f>
        <v>0</v>
      </c>
      <c r="T105" s="105" t="str">
        <f>OB_Act[[#This Row],[Day]]&amp;OB_Act[[#This Row],[Dump Truck]]&amp;OB_Act[[#This Row],[Contractor]]&amp;OB_Act[[#This Row],[Excavator]]&amp;OB_Act[[#This Row],[Shift]]</f>
        <v/>
      </c>
      <c r="U105" s="126">
        <f>1/COUNTIF(OB_Act[Dummy_DT/Exc],OB_Act[[#This Row],[Dummy_DT/Exc]])</f>
        <v>4.1841004184100415E-3</v>
      </c>
      <c r="V105" s="126" t="e">
        <f>VLOOKUP(OB_Act[[#This Row],[Day]],$AO$2:$AR$32,4,0)</f>
        <v>#N/A</v>
      </c>
      <c r="W105" s="126" t="e">
        <f>VLOOKUP(OB_Act[[#This Row],[Dump Area]],$AE$2:$AF$51,2,0)</f>
        <v>#N/A</v>
      </c>
      <c r="X105" s="126" t="str">
        <f>OB_Act[[#This Row],[Excavator]]&amp;OB_Act[[#This Row],[Contractor]]</f>
        <v/>
      </c>
      <c r="Y105" s="126" t="e">
        <f>IF(OB_Act[[#This Row],[Material]]="MUD",VLOOKUP(OB_Act[[#This Row],[Dump Truck]],Type_mud[[Nama DT]:[Type]],2,0),VLOOKUP(OB_Act[[#This Row],[Dump Truck]],Type_DT_OB[[Nama DT]:[Type]],4,0))</f>
        <v>#N/A</v>
      </c>
      <c r="Z105" s="126" t="e">
        <f>"JBG-OP1-CENTRAL-"&amp;VLOOKUP(OB_Act[[#This Row],[Pit]],$AK$2:$AL$9,2,0)&amp;"-WASTE-"&amp;OB_Act[[#This Row],[Material]]</f>
        <v>#N/A</v>
      </c>
      <c r="AA105" s="126" t="e">
        <f>"JBG-DUMP1-"&amp;VLOOKUP(OB_Act[[#This Row],[Dump]],$AF$2:$AG$55,2,0)&amp;"-"&amp;OB_Act[[#This Row],[Material]]</f>
        <v>#N/A</v>
      </c>
      <c r="AB105" s="126" t="str">
        <f>"JBG-"&amp;OB_Act[[#This Row],[Material]]</f>
        <v>JBG-</v>
      </c>
      <c r="BD105" s="105" t="str">
        <f>RIGHT(Type_DT_OB[[#This Row],[Nama DT]],3)</f>
        <v>956</v>
      </c>
      <c r="BE105" s="105" t="s">
        <v>481</v>
      </c>
      <c r="BF105" s="105">
        <v>11</v>
      </c>
      <c r="BG105" s="105">
        <v>10</v>
      </c>
      <c r="BH105" s="105" t="s">
        <v>467</v>
      </c>
      <c r="BI105" s="105" t="s">
        <v>431</v>
      </c>
      <c r="BK105" s="105" t="str">
        <f>RIGHT(Type_mud[[#This Row],[Nama DT]],3)</f>
        <v>956</v>
      </c>
      <c r="BL105" s="105" t="s">
        <v>481</v>
      </c>
      <c r="BM105" s="105" t="s">
        <v>656</v>
      </c>
    </row>
    <row r="106" spans="13:65">
      <c r="M106" s="105">
        <f>OB_Act[[#This Row],[Volume (BCM)]]*OB_Act[[#This Row],[Distance (Meter)]]</f>
        <v>0</v>
      </c>
      <c r="N106" s="105" t="str">
        <f>LEFT(OB_Act[[#This Row],[Dump Truck]],3)</f>
        <v/>
      </c>
      <c r="O106" s="126" t="str">
        <f>OB_Act[[#This Row],[Day]]&amp;OB_Act[[#This Row],[Excavator]]&amp;OB_Act[[#This Row],[Contractor]]&amp;OB_Act[[#This Row],[Pit]]&amp;OB_Act[[#This Row],[Shift]]</f>
        <v/>
      </c>
      <c r="P106" s="126">
        <f>1/COUNTIF(OB_Act[Dummy_Exc],OB_Act[[#This Row],[Dummy_Exc]])</f>
        <v>4.1841004184100415E-3</v>
      </c>
      <c r="Q106" s="105" t="str">
        <f>OB_Act[[#This Row],[Day]]&amp;OB_Act[[#This Row],[Dump Truck]]&amp;OB_Act[[#This Row],[Pit]]&amp;OB_Act[[#This Row],[Shift]]</f>
        <v/>
      </c>
      <c r="R106" s="126">
        <f>1/COUNTIF(OB_Act[Dummy_DT],OB_Act[[#This Row],[Dummy_DT]])</f>
        <v>4.1841004184100415E-3</v>
      </c>
      <c r="S106" s="126">
        <f>OB_Act[[#This Row],[Distance (Meter)]]*OB_Act[[#This Row],[Volume (BCM)]]</f>
        <v>0</v>
      </c>
      <c r="T106" s="105" t="str">
        <f>OB_Act[[#This Row],[Day]]&amp;OB_Act[[#This Row],[Dump Truck]]&amp;OB_Act[[#This Row],[Contractor]]&amp;OB_Act[[#This Row],[Excavator]]&amp;OB_Act[[#This Row],[Shift]]</f>
        <v/>
      </c>
      <c r="U106" s="126">
        <f>1/COUNTIF(OB_Act[Dummy_DT/Exc],OB_Act[[#This Row],[Dummy_DT/Exc]])</f>
        <v>4.1841004184100415E-3</v>
      </c>
      <c r="V106" s="126" t="e">
        <f>VLOOKUP(OB_Act[[#This Row],[Day]],$AO$2:$AR$32,4,0)</f>
        <v>#N/A</v>
      </c>
      <c r="W106" s="126" t="e">
        <f>VLOOKUP(OB_Act[[#This Row],[Dump Area]],$AE$2:$AF$51,2,0)</f>
        <v>#N/A</v>
      </c>
      <c r="X106" s="126" t="str">
        <f>OB_Act[[#This Row],[Excavator]]&amp;OB_Act[[#This Row],[Contractor]]</f>
        <v/>
      </c>
      <c r="Y106" s="126" t="e">
        <f>IF(OB_Act[[#This Row],[Material]]="MUD",VLOOKUP(OB_Act[[#This Row],[Dump Truck]],Type_mud[[Nama DT]:[Type]],2,0),VLOOKUP(OB_Act[[#This Row],[Dump Truck]],Type_DT_OB[[Nama DT]:[Type]],4,0))</f>
        <v>#N/A</v>
      </c>
      <c r="Z106" s="126" t="e">
        <f>"JBG-OP1-CENTRAL-"&amp;VLOOKUP(OB_Act[[#This Row],[Pit]],$AK$2:$AL$9,2,0)&amp;"-WASTE-"&amp;OB_Act[[#This Row],[Material]]</f>
        <v>#N/A</v>
      </c>
      <c r="AA106" s="126" t="e">
        <f>"JBG-DUMP1-"&amp;VLOOKUP(OB_Act[[#This Row],[Dump]],$AF$2:$AG$55,2,0)&amp;"-"&amp;OB_Act[[#This Row],[Material]]</f>
        <v>#N/A</v>
      </c>
      <c r="AB106" s="126" t="str">
        <f>"JBG-"&amp;OB_Act[[#This Row],[Material]]</f>
        <v>JBG-</v>
      </c>
      <c r="BD106" s="105" t="str">
        <f>RIGHT(Type_DT_OB[[#This Row],[Nama DT]],3)</f>
        <v>957</v>
      </c>
      <c r="BE106" s="105" t="s">
        <v>482</v>
      </c>
      <c r="BF106" s="105">
        <v>11</v>
      </c>
      <c r="BG106" s="105">
        <v>10</v>
      </c>
      <c r="BH106" s="105" t="s">
        <v>467</v>
      </c>
      <c r="BI106" s="105" t="s">
        <v>431</v>
      </c>
      <c r="BK106" s="105" t="str">
        <f>RIGHT(Type_mud[[#This Row],[Nama DT]],3)</f>
        <v>957</v>
      </c>
      <c r="BL106" s="105" t="s">
        <v>482</v>
      </c>
      <c r="BM106" s="105" t="s">
        <v>656</v>
      </c>
    </row>
    <row r="107" spans="13:65">
      <c r="M107" s="105">
        <f>OB_Act[[#This Row],[Volume (BCM)]]*OB_Act[[#This Row],[Distance (Meter)]]</f>
        <v>0</v>
      </c>
      <c r="N107" s="105" t="str">
        <f>LEFT(OB_Act[[#This Row],[Dump Truck]],3)</f>
        <v/>
      </c>
      <c r="O107" s="126" t="str">
        <f>OB_Act[[#This Row],[Day]]&amp;OB_Act[[#This Row],[Excavator]]&amp;OB_Act[[#This Row],[Contractor]]&amp;OB_Act[[#This Row],[Pit]]&amp;OB_Act[[#This Row],[Shift]]</f>
        <v/>
      </c>
      <c r="P107" s="126">
        <f>1/COUNTIF(OB_Act[Dummy_Exc],OB_Act[[#This Row],[Dummy_Exc]])</f>
        <v>4.1841004184100415E-3</v>
      </c>
      <c r="Q107" s="105" t="str">
        <f>OB_Act[[#This Row],[Day]]&amp;OB_Act[[#This Row],[Dump Truck]]&amp;OB_Act[[#This Row],[Pit]]&amp;OB_Act[[#This Row],[Shift]]</f>
        <v/>
      </c>
      <c r="R107" s="126">
        <f>1/COUNTIF(OB_Act[Dummy_DT],OB_Act[[#This Row],[Dummy_DT]])</f>
        <v>4.1841004184100415E-3</v>
      </c>
      <c r="S107" s="126">
        <f>OB_Act[[#This Row],[Distance (Meter)]]*OB_Act[[#This Row],[Volume (BCM)]]</f>
        <v>0</v>
      </c>
      <c r="T107" s="105" t="str">
        <f>OB_Act[[#This Row],[Day]]&amp;OB_Act[[#This Row],[Dump Truck]]&amp;OB_Act[[#This Row],[Contractor]]&amp;OB_Act[[#This Row],[Excavator]]&amp;OB_Act[[#This Row],[Shift]]</f>
        <v/>
      </c>
      <c r="U107" s="126">
        <f>1/COUNTIF(OB_Act[Dummy_DT/Exc],OB_Act[[#This Row],[Dummy_DT/Exc]])</f>
        <v>4.1841004184100415E-3</v>
      </c>
      <c r="V107" s="126" t="e">
        <f>VLOOKUP(OB_Act[[#This Row],[Day]],$AO$2:$AR$32,4,0)</f>
        <v>#N/A</v>
      </c>
      <c r="W107" s="126" t="e">
        <f>VLOOKUP(OB_Act[[#This Row],[Dump Area]],$AE$2:$AF$51,2,0)</f>
        <v>#N/A</v>
      </c>
      <c r="X107" s="126" t="str">
        <f>OB_Act[[#This Row],[Excavator]]&amp;OB_Act[[#This Row],[Contractor]]</f>
        <v/>
      </c>
      <c r="Y107" s="126" t="e">
        <f>IF(OB_Act[[#This Row],[Material]]="MUD",VLOOKUP(OB_Act[[#This Row],[Dump Truck]],Type_mud[[Nama DT]:[Type]],2,0),VLOOKUP(OB_Act[[#This Row],[Dump Truck]],Type_DT_OB[[Nama DT]:[Type]],4,0))</f>
        <v>#N/A</v>
      </c>
      <c r="Z107" s="126" t="e">
        <f>"JBG-OP1-CENTRAL-"&amp;VLOOKUP(OB_Act[[#This Row],[Pit]],$AK$2:$AL$9,2,0)&amp;"-WASTE-"&amp;OB_Act[[#This Row],[Material]]</f>
        <v>#N/A</v>
      </c>
      <c r="AA107" s="126" t="e">
        <f>"JBG-DUMP1-"&amp;VLOOKUP(OB_Act[[#This Row],[Dump]],$AF$2:$AG$55,2,0)&amp;"-"&amp;OB_Act[[#This Row],[Material]]</f>
        <v>#N/A</v>
      </c>
      <c r="AB107" s="126" t="str">
        <f>"JBG-"&amp;OB_Act[[#This Row],[Material]]</f>
        <v>JBG-</v>
      </c>
      <c r="BD107" s="105" t="str">
        <f>RIGHT(Type_DT_OB[[#This Row],[Nama DT]],3)</f>
        <v>958</v>
      </c>
      <c r="BE107" s="105" t="s">
        <v>483</v>
      </c>
      <c r="BF107" s="105">
        <v>11</v>
      </c>
      <c r="BG107" s="105">
        <v>10</v>
      </c>
      <c r="BH107" s="105" t="s">
        <v>467</v>
      </c>
      <c r="BI107" s="105" t="s">
        <v>431</v>
      </c>
      <c r="BK107" s="105" t="str">
        <f>RIGHT(Type_mud[[#This Row],[Nama DT]],3)</f>
        <v>958</v>
      </c>
      <c r="BL107" s="105" t="s">
        <v>483</v>
      </c>
      <c r="BM107" s="105" t="s">
        <v>656</v>
      </c>
    </row>
    <row r="108" spans="13:65">
      <c r="M108" s="105">
        <f>OB_Act[[#This Row],[Volume (BCM)]]*OB_Act[[#This Row],[Distance (Meter)]]</f>
        <v>0</v>
      </c>
      <c r="N108" s="105" t="str">
        <f>LEFT(OB_Act[[#This Row],[Dump Truck]],3)</f>
        <v/>
      </c>
      <c r="O108" s="126" t="str">
        <f>OB_Act[[#This Row],[Day]]&amp;OB_Act[[#This Row],[Excavator]]&amp;OB_Act[[#This Row],[Contractor]]&amp;OB_Act[[#This Row],[Pit]]&amp;OB_Act[[#This Row],[Shift]]</f>
        <v/>
      </c>
      <c r="P108" s="126">
        <f>1/COUNTIF(OB_Act[Dummy_Exc],OB_Act[[#This Row],[Dummy_Exc]])</f>
        <v>4.1841004184100415E-3</v>
      </c>
      <c r="Q108" s="105" t="str">
        <f>OB_Act[[#This Row],[Day]]&amp;OB_Act[[#This Row],[Dump Truck]]&amp;OB_Act[[#This Row],[Pit]]&amp;OB_Act[[#This Row],[Shift]]</f>
        <v/>
      </c>
      <c r="R108" s="126">
        <f>1/COUNTIF(OB_Act[Dummy_DT],OB_Act[[#This Row],[Dummy_DT]])</f>
        <v>4.1841004184100415E-3</v>
      </c>
      <c r="S108" s="126">
        <f>OB_Act[[#This Row],[Distance (Meter)]]*OB_Act[[#This Row],[Volume (BCM)]]</f>
        <v>0</v>
      </c>
      <c r="T108" s="105" t="str">
        <f>OB_Act[[#This Row],[Day]]&amp;OB_Act[[#This Row],[Dump Truck]]&amp;OB_Act[[#This Row],[Contractor]]&amp;OB_Act[[#This Row],[Excavator]]&amp;OB_Act[[#This Row],[Shift]]</f>
        <v/>
      </c>
      <c r="U108" s="126">
        <f>1/COUNTIF(OB_Act[Dummy_DT/Exc],OB_Act[[#This Row],[Dummy_DT/Exc]])</f>
        <v>4.1841004184100415E-3</v>
      </c>
      <c r="V108" s="126" t="e">
        <f>VLOOKUP(OB_Act[[#This Row],[Day]],$AO$2:$AR$32,4,0)</f>
        <v>#N/A</v>
      </c>
      <c r="W108" s="126" t="e">
        <f>VLOOKUP(OB_Act[[#This Row],[Dump Area]],$AE$2:$AF$51,2,0)</f>
        <v>#N/A</v>
      </c>
      <c r="X108" s="126" t="str">
        <f>OB_Act[[#This Row],[Excavator]]&amp;OB_Act[[#This Row],[Contractor]]</f>
        <v/>
      </c>
      <c r="Y108" s="126" t="e">
        <f>IF(OB_Act[[#This Row],[Material]]="MUD",VLOOKUP(OB_Act[[#This Row],[Dump Truck]],Type_mud[[Nama DT]:[Type]],2,0),VLOOKUP(OB_Act[[#This Row],[Dump Truck]],Type_DT_OB[[Nama DT]:[Type]],4,0))</f>
        <v>#N/A</v>
      </c>
      <c r="Z108" s="126" t="e">
        <f>"JBG-OP1-CENTRAL-"&amp;VLOOKUP(OB_Act[[#This Row],[Pit]],$AK$2:$AL$9,2,0)&amp;"-WASTE-"&amp;OB_Act[[#This Row],[Material]]</f>
        <v>#N/A</v>
      </c>
      <c r="AA108" s="126" t="e">
        <f>"JBG-DUMP1-"&amp;VLOOKUP(OB_Act[[#This Row],[Dump]],$AF$2:$AG$55,2,0)&amp;"-"&amp;OB_Act[[#This Row],[Material]]</f>
        <v>#N/A</v>
      </c>
      <c r="AB108" s="126" t="str">
        <f>"JBG-"&amp;OB_Act[[#This Row],[Material]]</f>
        <v>JBG-</v>
      </c>
      <c r="BD108" s="105" t="str">
        <f>RIGHT(Type_DT_OB[[#This Row],[Nama DT]],3)</f>
        <v>959</v>
      </c>
      <c r="BE108" s="105" t="s">
        <v>484</v>
      </c>
      <c r="BF108" s="105">
        <v>11</v>
      </c>
      <c r="BG108" s="105">
        <v>10</v>
      </c>
      <c r="BH108" s="105" t="s">
        <v>467</v>
      </c>
      <c r="BI108" s="105" t="s">
        <v>431</v>
      </c>
      <c r="BK108" s="105" t="str">
        <f>RIGHT(Type_mud[[#This Row],[Nama DT]],3)</f>
        <v>959</v>
      </c>
      <c r="BL108" s="105" t="s">
        <v>484</v>
      </c>
      <c r="BM108" s="105" t="s">
        <v>656</v>
      </c>
    </row>
    <row r="109" spans="13:65">
      <c r="M109" s="105">
        <f>OB_Act[[#This Row],[Volume (BCM)]]*OB_Act[[#This Row],[Distance (Meter)]]</f>
        <v>0</v>
      </c>
      <c r="N109" s="105" t="str">
        <f>LEFT(OB_Act[[#This Row],[Dump Truck]],3)</f>
        <v/>
      </c>
      <c r="O109" s="126" t="str">
        <f>OB_Act[[#This Row],[Day]]&amp;OB_Act[[#This Row],[Excavator]]&amp;OB_Act[[#This Row],[Contractor]]&amp;OB_Act[[#This Row],[Pit]]&amp;OB_Act[[#This Row],[Shift]]</f>
        <v/>
      </c>
      <c r="P109" s="126">
        <f>1/COUNTIF(OB_Act[Dummy_Exc],OB_Act[[#This Row],[Dummy_Exc]])</f>
        <v>4.1841004184100415E-3</v>
      </c>
      <c r="Q109" s="105" t="str">
        <f>OB_Act[[#This Row],[Day]]&amp;OB_Act[[#This Row],[Dump Truck]]&amp;OB_Act[[#This Row],[Pit]]&amp;OB_Act[[#This Row],[Shift]]</f>
        <v/>
      </c>
      <c r="R109" s="126">
        <f>1/COUNTIF(OB_Act[Dummy_DT],OB_Act[[#This Row],[Dummy_DT]])</f>
        <v>4.1841004184100415E-3</v>
      </c>
      <c r="S109" s="126">
        <f>OB_Act[[#This Row],[Distance (Meter)]]*OB_Act[[#This Row],[Volume (BCM)]]</f>
        <v>0</v>
      </c>
      <c r="T109" s="105" t="str">
        <f>OB_Act[[#This Row],[Day]]&amp;OB_Act[[#This Row],[Dump Truck]]&amp;OB_Act[[#This Row],[Contractor]]&amp;OB_Act[[#This Row],[Excavator]]&amp;OB_Act[[#This Row],[Shift]]</f>
        <v/>
      </c>
      <c r="U109" s="126">
        <f>1/COUNTIF(OB_Act[Dummy_DT/Exc],OB_Act[[#This Row],[Dummy_DT/Exc]])</f>
        <v>4.1841004184100415E-3</v>
      </c>
      <c r="V109" s="126" t="e">
        <f>VLOOKUP(OB_Act[[#This Row],[Day]],$AO$2:$AR$32,4,0)</f>
        <v>#N/A</v>
      </c>
      <c r="W109" s="126" t="e">
        <f>VLOOKUP(OB_Act[[#This Row],[Dump Area]],$AE$2:$AF$51,2,0)</f>
        <v>#N/A</v>
      </c>
      <c r="X109" s="126" t="str">
        <f>OB_Act[[#This Row],[Excavator]]&amp;OB_Act[[#This Row],[Contractor]]</f>
        <v/>
      </c>
      <c r="Y109" s="126" t="e">
        <f>IF(OB_Act[[#This Row],[Material]]="MUD",VLOOKUP(OB_Act[[#This Row],[Dump Truck]],Type_mud[[Nama DT]:[Type]],2,0),VLOOKUP(OB_Act[[#This Row],[Dump Truck]],Type_DT_OB[[Nama DT]:[Type]],4,0))</f>
        <v>#N/A</v>
      </c>
      <c r="Z109" s="126" t="e">
        <f>"JBG-OP1-CENTRAL-"&amp;VLOOKUP(OB_Act[[#This Row],[Pit]],$AK$2:$AL$9,2,0)&amp;"-WASTE-"&amp;OB_Act[[#This Row],[Material]]</f>
        <v>#N/A</v>
      </c>
      <c r="AA109" s="126" t="e">
        <f>"JBG-DUMP1-"&amp;VLOOKUP(OB_Act[[#This Row],[Dump]],$AF$2:$AG$55,2,0)&amp;"-"&amp;OB_Act[[#This Row],[Material]]</f>
        <v>#N/A</v>
      </c>
      <c r="AB109" s="126" t="str">
        <f>"JBG-"&amp;OB_Act[[#This Row],[Material]]</f>
        <v>JBG-</v>
      </c>
      <c r="BD109" s="105" t="str">
        <f>RIGHT(Type_DT_OB[[#This Row],[Nama DT]],3)</f>
        <v>960</v>
      </c>
      <c r="BE109" s="105" t="s">
        <v>485</v>
      </c>
      <c r="BF109" s="105">
        <v>11</v>
      </c>
      <c r="BG109" s="105">
        <v>10</v>
      </c>
      <c r="BH109" s="105" t="s">
        <v>467</v>
      </c>
      <c r="BI109" s="105" t="s">
        <v>431</v>
      </c>
      <c r="BK109" s="105" t="str">
        <f>RIGHT(Type_mud[[#This Row],[Nama DT]],3)</f>
        <v>960</v>
      </c>
      <c r="BL109" s="105" t="s">
        <v>485</v>
      </c>
      <c r="BM109" s="105" t="s">
        <v>656</v>
      </c>
    </row>
    <row r="110" spans="13:65">
      <c r="M110" s="105">
        <f>OB_Act[[#This Row],[Volume (BCM)]]*OB_Act[[#This Row],[Distance (Meter)]]</f>
        <v>0</v>
      </c>
      <c r="N110" s="105" t="str">
        <f>LEFT(OB_Act[[#This Row],[Dump Truck]],3)</f>
        <v/>
      </c>
      <c r="O110" s="126" t="str">
        <f>OB_Act[[#This Row],[Day]]&amp;OB_Act[[#This Row],[Excavator]]&amp;OB_Act[[#This Row],[Contractor]]&amp;OB_Act[[#This Row],[Pit]]&amp;OB_Act[[#This Row],[Shift]]</f>
        <v/>
      </c>
      <c r="P110" s="126">
        <f>1/COUNTIF(OB_Act[Dummy_Exc],OB_Act[[#This Row],[Dummy_Exc]])</f>
        <v>4.1841004184100415E-3</v>
      </c>
      <c r="Q110" s="105" t="str">
        <f>OB_Act[[#This Row],[Day]]&amp;OB_Act[[#This Row],[Dump Truck]]&amp;OB_Act[[#This Row],[Pit]]&amp;OB_Act[[#This Row],[Shift]]</f>
        <v/>
      </c>
      <c r="R110" s="126">
        <f>1/COUNTIF(OB_Act[Dummy_DT],OB_Act[[#This Row],[Dummy_DT]])</f>
        <v>4.1841004184100415E-3</v>
      </c>
      <c r="S110" s="126">
        <f>OB_Act[[#This Row],[Distance (Meter)]]*OB_Act[[#This Row],[Volume (BCM)]]</f>
        <v>0</v>
      </c>
      <c r="T110" s="105" t="str">
        <f>OB_Act[[#This Row],[Day]]&amp;OB_Act[[#This Row],[Dump Truck]]&amp;OB_Act[[#This Row],[Contractor]]&amp;OB_Act[[#This Row],[Excavator]]&amp;OB_Act[[#This Row],[Shift]]</f>
        <v/>
      </c>
      <c r="U110" s="126">
        <f>1/COUNTIF(OB_Act[Dummy_DT/Exc],OB_Act[[#This Row],[Dummy_DT/Exc]])</f>
        <v>4.1841004184100415E-3</v>
      </c>
      <c r="V110" s="126" t="e">
        <f>VLOOKUP(OB_Act[[#This Row],[Day]],$AO$2:$AR$32,4,0)</f>
        <v>#N/A</v>
      </c>
      <c r="W110" s="126" t="e">
        <f>VLOOKUP(OB_Act[[#This Row],[Dump Area]],$AE$2:$AF$51,2,0)</f>
        <v>#N/A</v>
      </c>
      <c r="X110" s="126" t="str">
        <f>OB_Act[[#This Row],[Excavator]]&amp;OB_Act[[#This Row],[Contractor]]</f>
        <v/>
      </c>
      <c r="Y110" s="126" t="e">
        <f>IF(OB_Act[[#This Row],[Material]]="MUD",VLOOKUP(OB_Act[[#This Row],[Dump Truck]],Type_mud[[Nama DT]:[Type]],2,0),VLOOKUP(OB_Act[[#This Row],[Dump Truck]],Type_DT_OB[[Nama DT]:[Type]],4,0))</f>
        <v>#N/A</v>
      </c>
      <c r="Z110" s="126" t="e">
        <f>"JBG-OP1-CENTRAL-"&amp;VLOOKUP(OB_Act[[#This Row],[Pit]],$AK$2:$AL$9,2,0)&amp;"-WASTE-"&amp;OB_Act[[#This Row],[Material]]</f>
        <v>#N/A</v>
      </c>
      <c r="AA110" s="126" t="e">
        <f>"JBG-DUMP1-"&amp;VLOOKUP(OB_Act[[#This Row],[Dump]],$AF$2:$AG$55,2,0)&amp;"-"&amp;OB_Act[[#This Row],[Material]]</f>
        <v>#N/A</v>
      </c>
      <c r="AB110" s="126" t="str">
        <f>"JBG-"&amp;OB_Act[[#This Row],[Material]]</f>
        <v>JBG-</v>
      </c>
      <c r="BD110" s="105" t="str">
        <f>RIGHT(Type_DT_OB[[#This Row],[Nama DT]],3)</f>
        <v>966</v>
      </c>
      <c r="BE110" s="105" t="s">
        <v>486</v>
      </c>
      <c r="BF110" s="105">
        <v>11</v>
      </c>
      <c r="BG110" s="105">
        <v>10</v>
      </c>
      <c r="BH110" s="105" t="s">
        <v>467</v>
      </c>
      <c r="BI110" s="105" t="s">
        <v>431</v>
      </c>
      <c r="BK110" s="105" t="str">
        <f>RIGHT(Type_mud[[#This Row],[Nama DT]],3)</f>
        <v>966</v>
      </c>
      <c r="BL110" s="105" t="s">
        <v>486</v>
      </c>
      <c r="BM110" s="105" t="s">
        <v>656</v>
      </c>
    </row>
    <row r="111" spans="13:65">
      <c r="M111" s="105">
        <f>OB_Act[[#This Row],[Volume (BCM)]]*OB_Act[[#This Row],[Distance (Meter)]]</f>
        <v>0</v>
      </c>
      <c r="N111" s="105" t="str">
        <f>LEFT(OB_Act[[#This Row],[Dump Truck]],3)</f>
        <v/>
      </c>
      <c r="O111" s="126" t="str">
        <f>OB_Act[[#This Row],[Day]]&amp;OB_Act[[#This Row],[Excavator]]&amp;OB_Act[[#This Row],[Contractor]]&amp;OB_Act[[#This Row],[Pit]]&amp;OB_Act[[#This Row],[Shift]]</f>
        <v/>
      </c>
      <c r="P111" s="126">
        <f>1/COUNTIF(OB_Act[Dummy_Exc],OB_Act[[#This Row],[Dummy_Exc]])</f>
        <v>4.1841004184100415E-3</v>
      </c>
      <c r="Q111" s="105" t="str">
        <f>OB_Act[[#This Row],[Day]]&amp;OB_Act[[#This Row],[Dump Truck]]&amp;OB_Act[[#This Row],[Pit]]&amp;OB_Act[[#This Row],[Shift]]</f>
        <v/>
      </c>
      <c r="R111" s="126">
        <f>1/COUNTIF(OB_Act[Dummy_DT],OB_Act[[#This Row],[Dummy_DT]])</f>
        <v>4.1841004184100415E-3</v>
      </c>
      <c r="S111" s="126">
        <f>OB_Act[[#This Row],[Distance (Meter)]]*OB_Act[[#This Row],[Volume (BCM)]]</f>
        <v>0</v>
      </c>
      <c r="T111" s="105" t="str">
        <f>OB_Act[[#This Row],[Day]]&amp;OB_Act[[#This Row],[Dump Truck]]&amp;OB_Act[[#This Row],[Contractor]]&amp;OB_Act[[#This Row],[Excavator]]&amp;OB_Act[[#This Row],[Shift]]</f>
        <v/>
      </c>
      <c r="U111" s="126">
        <f>1/COUNTIF(OB_Act[Dummy_DT/Exc],OB_Act[[#This Row],[Dummy_DT/Exc]])</f>
        <v>4.1841004184100415E-3</v>
      </c>
      <c r="V111" s="126" t="e">
        <f>VLOOKUP(OB_Act[[#This Row],[Day]],$AO$2:$AR$32,4,0)</f>
        <v>#N/A</v>
      </c>
      <c r="W111" s="126" t="e">
        <f>VLOOKUP(OB_Act[[#This Row],[Dump Area]],$AE$2:$AF$51,2,0)</f>
        <v>#N/A</v>
      </c>
      <c r="X111" s="126" t="str">
        <f>OB_Act[[#This Row],[Excavator]]&amp;OB_Act[[#This Row],[Contractor]]</f>
        <v/>
      </c>
      <c r="Y111" s="126" t="e">
        <f>IF(OB_Act[[#This Row],[Material]]="MUD",VLOOKUP(OB_Act[[#This Row],[Dump Truck]],Type_mud[[Nama DT]:[Type]],2,0),VLOOKUP(OB_Act[[#This Row],[Dump Truck]],Type_DT_OB[[Nama DT]:[Type]],4,0))</f>
        <v>#N/A</v>
      </c>
      <c r="Z111" s="126" t="e">
        <f>"JBG-OP1-CENTRAL-"&amp;VLOOKUP(OB_Act[[#This Row],[Pit]],$AK$2:$AL$9,2,0)&amp;"-WASTE-"&amp;OB_Act[[#This Row],[Material]]</f>
        <v>#N/A</v>
      </c>
      <c r="AA111" s="126" t="e">
        <f>"JBG-DUMP1-"&amp;VLOOKUP(OB_Act[[#This Row],[Dump]],$AF$2:$AG$55,2,0)&amp;"-"&amp;OB_Act[[#This Row],[Material]]</f>
        <v>#N/A</v>
      </c>
      <c r="AB111" s="126" t="str">
        <f>"JBG-"&amp;OB_Act[[#This Row],[Material]]</f>
        <v>JBG-</v>
      </c>
      <c r="BD111" s="105" t="str">
        <f>RIGHT(Type_DT_OB[[#This Row],[Nama DT]],3)</f>
        <v>967</v>
      </c>
      <c r="BE111" s="105" t="s">
        <v>487</v>
      </c>
      <c r="BF111" s="105">
        <v>11</v>
      </c>
      <c r="BG111" s="105">
        <v>10</v>
      </c>
      <c r="BH111" s="105" t="s">
        <v>467</v>
      </c>
      <c r="BI111" s="105" t="s">
        <v>431</v>
      </c>
      <c r="BK111" s="105" t="str">
        <f>RIGHT(Type_mud[[#This Row],[Nama DT]],3)</f>
        <v>967</v>
      </c>
      <c r="BL111" s="105" t="s">
        <v>487</v>
      </c>
      <c r="BM111" s="105" t="s">
        <v>656</v>
      </c>
    </row>
    <row r="112" spans="13:65">
      <c r="M112" s="105">
        <f>OB_Act[[#This Row],[Volume (BCM)]]*OB_Act[[#This Row],[Distance (Meter)]]</f>
        <v>0</v>
      </c>
      <c r="N112" s="105" t="str">
        <f>LEFT(OB_Act[[#This Row],[Dump Truck]],3)</f>
        <v/>
      </c>
      <c r="O112" s="126" t="str">
        <f>OB_Act[[#This Row],[Day]]&amp;OB_Act[[#This Row],[Excavator]]&amp;OB_Act[[#This Row],[Contractor]]&amp;OB_Act[[#This Row],[Pit]]&amp;OB_Act[[#This Row],[Shift]]</f>
        <v/>
      </c>
      <c r="P112" s="126">
        <f>1/COUNTIF(OB_Act[Dummy_Exc],OB_Act[[#This Row],[Dummy_Exc]])</f>
        <v>4.1841004184100415E-3</v>
      </c>
      <c r="Q112" s="105" t="str">
        <f>OB_Act[[#This Row],[Day]]&amp;OB_Act[[#This Row],[Dump Truck]]&amp;OB_Act[[#This Row],[Pit]]&amp;OB_Act[[#This Row],[Shift]]</f>
        <v/>
      </c>
      <c r="R112" s="126">
        <f>1/COUNTIF(OB_Act[Dummy_DT],OB_Act[[#This Row],[Dummy_DT]])</f>
        <v>4.1841004184100415E-3</v>
      </c>
      <c r="S112" s="126">
        <f>OB_Act[[#This Row],[Distance (Meter)]]*OB_Act[[#This Row],[Volume (BCM)]]</f>
        <v>0</v>
      </c>
      <c r="T112" s="105" t="str">
        <f>OB_Act[[#This Row],[Day]]&amp;OB_Act[[#This Row],[Dump Truck]]&amp;OB_Act[[#This Row],[Contractor]]&amp;OB_Act[[#This Row],[Excavator]]&amp;OB_Act[[#This Row],[Shift]]</f>
        <v/>
      </c>
      <c r="U112" s="126">
        <f>1/COUNTIF(OB_Act[Dummy_DT/Exc],OB_Act[[#This Row],[Dummy_DT/Exc]])</f>
        <v>4.1841004184100415E-3</v>
      </c>
      <c r="V112" s="126" t="e">
        <f>VLOOKUP(OB_Act[[#This Row],[Day]],$AO$2:$AR$32,4,0)</f>
        <v>#N/A</v>
      </c>
      <c r="W112" s="126" t="e">
        <f>VLOOKUP(OB_Act[[#This Row],[Dump Area]],$AE$2:$AF$51,2,0)</f>
        <v>#N/A</v>
      </c>
      <c r="X112" s="126" t="str">
        <f>OB_Act[[#This Row],[Excavator]]&amp;OB_Act[[#This Row],[Contractor]]</f>
        <v/>
      </c>
      <c r="Y112" s="126" t="e">
        <f>IF(OB_Act[[#This Row],[Material]]="MUD",VLOOKUP(OB_Act[[#This Row],[Dump Truck]],Type_mud[[Nama DT]:[Type]],2,0),VLOOKUP(OB_Act[[#This Row],[Dump Truck]],Type_DT_OB[[Nama DT]:[Type]],4,0))</f>
        <v>#N/A</v>
      </c>
      <c r="Z112" s="126" t="e">
        <f>"JBG-OP1-CENTRAL-"&amp;VLOOKUP(OB_Act[[#This Row],[Pit]],$AK$2:$AL$9,2,0)&amp;"-WASTE-"&amp;OB_Act[[#This Row],[Material]]</f>
        <v>#N/A</v>
      </c>
      <c r="AA112" s="126" t="e">
        <f>"JBG-DUMP1-"&amp;VLOOKUP(OB_Act[[#This Row],[Dump]],$AF$2:$AG$55,2,0)&amp;"-"&amp;OB_Act[[#This Row],[Material]]</f>
        <v>#N/A</v>
      </c>
      <c r="AB112" s="126" t="str">
        <f>"JBG-"&amp;OB_Act[[#This Row],[Material]]</f>
        <v>JBG-</v>
      </c>
      <c r="BD112" s="105" t="str">
        <f>RIGHT(Type_DT_OB[[#This Row],[Nama DT]],3)</f>
        <v>968</v>
      </c>
      <c r="BE112" s="105" t="s">
        <v>488</v>
      </c>
      <c r="BF112" s="105">
        <v>11</v>
      </c>
      <c r="BG112" s="105">
        <v>10</v>
      </c>
      <c r="BH112" s="105" t="s">
        <v>467</v>
      </c>
      <c r="BI112" s="105" t="s">
        <v>431</v>
      </c>
      <c r="BK112" s="105" t="str">
        <f>RIGHT(Type_mud[[#This Row],[Nama DT]],3)</f>
        <v>968</v>
      </c>
      <c r="BL112" s="105" t="s">
        <v>488</v>
      </c>
      <c r="BM112" s="105" t="s">
        <v>656</v>
      </c>
    </row>
    <row r="113" spans="13:65">
      <c r="M113" s="105">
        <f>OB_Act[[#This Row],[Volume (BCM)]]*OB_Act[[#This Row],[Distance (Meter)]]</f>
        <v>0</v>
      </c>
      <c r="N113" s="105" t="str">
        <f>LEFT(OB_Act[[#This Row],[Dump Truck]],3)</f>
        <v/>
      </c>
      <c r="O113" s="126" t="str">
        <f>OB_Act[[#This Row],[Day]]&amp;OB_Act[[#This Row],[Excavator]]&amp;OB_Act[[#This Row],[Contractor]]&amp;OB_Act[[#This Row],[Pit]]&amp;OB_Act[[#This Row],[Shift]]</f>
        <v/>
      </c>
      <c r="P113" s="126">
        <f>1/COUNTIF(OB_Act[Dummy_Exc],OB_Act[[#This Row],[Dummy_Exc]])</f>
        <v>4.1841004184100415E-3</v>
      </c>
      <c r="Q113" s="105" t="str">
        <f>OB_Act[[#This Row],[Day]]&amp;OB_Act[[#This Row],[Dump Truck]]&amp;OB_Act[[#This Row],[Pit]]&amp;OB_Act[[#This Row],[Shift]]</f>
        <v/>
      </c>
      <c r="R113" s="126">
        <f>1/COUNTIF(OB_Act[Dummy_DT],OB_Act[[#This Row],[Dummy_DT]])</f>
        <v>4.1841004184100415E-3</v>
      </c>
      <c r="S113" s="126">
        <f>OB_Act[[#This Row],[Distance (Meter)]]*OB_Act[[#This Row],[Volume (BCM)]]</f>
        <v>0</v>
      </c>
      <c r="T113" s="105" t="str">
        <f>OB_Act[[#This Row],[Day]]&amp;OB_Act[[#This Row],[Dump Truck]]&amp;OB_Act[[#This Row],[Contractor]]&amp;OB_Act[[#This Row],[Excavator]]&amp;OB_Act[[#This Row],[Shift]]</f>
        <v/>
      </c>
      <c r="U113" s="126">
        <f>1/COUNTIF(OB_Act[Dummy_DT/Exc],OB_Act[[#This Row],[Dummy_DT/Exc]])</f>
        <v>4.1841004184100415E-3</v>
      </c>
      <c r="V113" s="126" t="e">
        <f>VLOOKUP(OB_Act[[#This Row],[Day]],$AO$2:$AR$32,4,0)</f>
        <v>#N/A</v>
      </c>
      <c r="W113" s="126" t="e">
        <f>VLOOKUP(OB_Act[[#This Row],[Dump Area]],$AE$2:$AF$51,2,0)</f>
        <v>#N/A</v>
      </c>
      <c r="X113" s="126" t="str">
        <f>OB_Act[[#This Row],[Excavator]]&amp;OB_Act[[#This Row],[Contractor]]</f>
        <v/>
      </c>
      <c r="Y113" s="126" t="e">
        <f>IF(OB_Act[[#This Row],[Material]]="MUD",VLOOKUP(OB_Act[[#This Row],[Dump Truck]],Type_mud[[Nama DT]:[Type]],2,0),VLOOKUP(OB_Act[[#This Row],[Dump Truck]],Type_DT_OB[[Nama DT]:[Type]],4,0))</f>
        <v>#N/A</v>
      </c>
      <c r="Z113" s="126" t="e">
        <f>"JBG-OP1-CENTRAL-"&amp;VLOOKUP(OB_Act[[#This Row],[Pit]],$AK$2:$AL$9,2,0)&amp;"-WASTE-"&amp;OB_Act[[#This Row],[Material]]</f>
        <v>#N/A</v>
      </c>
      <c r="AA113" s="126" t="e">
        <f>"JBG-DUMP1-"&amp;VLOOKUP(OB_Act[[#This Row],[Dump]],$AF$2:$AG$55,2,0)&amp;"-"&amp;OB_Act[[#This Row],[Material]]</f>
        <v>#N/A</v>
      </c>
      <c r="AB113" s="126" t="str">
        <f>"JBG-"&amp;OB_Act[[#This Row],[Material]]</f>
        <v>JBG-</v>
      </c>
      <c r="BD113" s="105" t="str">
        <f>RIGHT(Type_DT_OB[[#This Row],[Nama DT]],3)</f>
        <v>969</v>
      </c>
      <c r="BE113" s="105" t="s">
        <v>489</v>
      </c>
      <c r="BF113" s="105">
        <v>11</v>
      </c>
      <c r="BG113" s="105">
        <v>10</v>
      </c>
      <c r="BH113" s="105" t="s">
        <v>467</v>
      </c>
      <c r="BI113" s="105" t="s">
        <v>431</v>
      </c>
      <c r="BK113" s="105" t="str">
        <f>RIGHT(Type_mud[[#This Row],[Nama DT]],3)</f>
        <v>969</v>
      </c>
      <c r="BL113" s="105" t="s">
        <v>489</v>
      </c>
      <c r="BM113" s="105" t="s">
        <v>656</v>
      </c>
    </row>
    <row r="114" spans="13:65">
      <c r="M114" s="105">
        <f>OB_Act[[#This Row],[Volume (BCM)]]*OB_Act[[#This Row],[Distance (Meter)]]</f>
        <v>0</v>
      </c>
      <c r="N114" s="105" t="str">
        <f>LEFT(OB_Act[[#This Row],[Dump Truck]],3)</f>
        <v/>
      </c>
      <c r="O114" s="126" t="str">
        <f>OB_Act[[#This Row],[Day]]&amp;OB_Act[[#This Row],[Excavator]]&amp;OB_Act[[#This Row],[Contractor]]&amp;OB_Act[[#This Row],[Pit]]&amp;OB_Act[[#This Row],[Shift]]</f>
        <v/>
      </c>
      <c r="P114" s="126">
        <f>1/COUNTIF(OB_Act[Dummy_Exc],OB_Act[[#This Row],[Dummy_Exc]])</f>
        <v>4.1841004184100415E-3</v>
      </c>
      <c r="Q114" s="105" t="str">
        <f>OB_Act[[#This Row],[Day]]&amp;OB_Act[[#This Row],[Dump Truck]]&amp;OB_Act[[#This Row],[Pit]]&amp;OB_Act[[#This Row],[Shift]]</f>
        <v/>
      </c>
      <c r="R114" s="126">
        <f>1/COUNTIF(OB_Act[Dummy_DT],OB_Act[[#This Row],[Dummy_DT]])</f>
        <v>4.1841004184100415E-3</v>
      </c>
      <c r="S114" s="126">
        <f>OB_Act[[#This Row],[Distance (Meter)]]*OB_Act[[#This Row],[Volume (BCM)]]</f>
        <v>0</v>
      </c>
      <c r="T114" s="105" t="str">
        <f>OB_Act[[#This Row],[Day]]&amp;OB_Act[[#This Row],[Dump Truck]]&amp;OB_Act[[#This Row],[Contractor]]&amp;OB_Act[[#This Row],[Excavator]]&amp;OB_Act[[#This Row],[Shift]]</f>
        <v/>
      </c>
      <c r="U114" s="126">
        <f>1/COUNTIF(OB_Act[Dummy_DT/Exc],OB_Act[[#This Row],[Dummy_DT/Exc]])</f>
        <v>4.1841004184100415E-3</v>
      </c>
      <c r="V114" s="126" t="e">
        <f>VLOOKUP(OB_Act[[#This Row],[Day]],$AO$2:$AR$32,4,0)</f>
        <v>#N/A</v>
      </c>
      <c r="W114" s="126" t="e">
        <f>VLOOKUP(OB_Act[[#This Row],[Dump Area]],$AE$2:$AF$51,2,0)</f>
        <v>#N/A</v>
      </c>
      <c r="X114" s="126" t="str">
        <f>OB_Act[[#This Row],[Excavator]]&amp;OB_Act[[#This Row],[Contractor]]</f>
        <v/>
      </c>
      <c r="Y114" s="126" t="e">
        <f>IF(OB_Act[[#This Row],[Material]]="MUD",VLOOKUP(OB_Act[[#This Row],[Dump Truck]],Type_mud[[Nama DT]:[Type]],2,0),VLOOKUP(OB_Act[[#This Row],[Dump Truck]],Type_DT_OB[[Nama DT]:[Type]],4,0))</f>
        <v>#N/A</v>
      </c>
      <c r="Z114" s="126" t="e">
        <f>"JBG-OP1-CENTRAL-"&amp;VLOOKUP(OB_Act[[#This Row],[Pit]],$AK$2:$AL$9,2,0)&amp;"-WASTE-"&amp;OB_Act[[#This Row],[Material]]</f>
        <v>#N/A</v>
      </c>
      <c r="AA114" s="126" t="e">
        <f>"JBG-DUMP1-"&amp;VLOOKUP(OB_Act[[#This Row],[Dump]],$AF$2:$AG$55,2,0)&amp;"-"&amp;OB_Act[[#This Row],[Material]]</f>
        <v>#N/A</v>
      </c>
      <c r="AB114" s="126" t="str">
        <f>"JBG-"&amp;OB_Act[[#This Row],[Material]]</f>
        <v>JBG-</v>
      </c>
      <c r="BD114" s="105" t="str">
        <f>RIGHT(Type_DT_OB[[#This Row],[Nama DT]],3)</f>
        <v>970</v>
      </c>
      <c r="BE114" s="105" t="s">
        <v>490</v>
      </c>
      <c r="BF114" s="105">
        <v>11</v>
      </c>
      <c r="BG114" s="105">
        <v>10</v>
      </c>
      <c r="BH114" s="105" t="s">
        <v>467</v>
      </c>
      <c r="BI114" s="105" t="s">
        <v>431</v>
      </c>
      <c r="BK114" s="105" t="str">
        <f>RIGHT(Type_mud[[#This Row],[Nama DT]],3)</f>
        <v>970</v>
      </c>
      <c r="BL114" s="105" t="s">
        <v>490</v>
      </c>
      <c r="BM114" s="105" t="s">
        <v>656</v>
      </c>
    </row>
    <row r="115" spans="13:65">
      <c r="M115" s="105">
        <f>OB_Act[[#This Row],[Volume (BCM)]]*OB_Act[[#This Row],[Distance (Meter)]]</f>
        <v>0</v>
      </c>
      <c r="N115" s="105" t="str">
        <f>LEFT(OB_Act[[#This Row],[Dump Truck]],3)</f>
        <v/>
      </c>
      <c r="O115" s="126" t="str">
        <f>OB_Act[[#This Row],[Day]]&amp;OB_Act[[#This Row],[Excavator]]&amp;OB_Act[[#This Row],[Contractor]]&amp;OB_Act[[#This Row],[Pit]]&amp;OB_Act[[#This Row],[Shift]]</f>
        <v/>
      </c>
      <c r="P115" s="126">
        <f>1/COUNTIF(OB_Act[Dummy_Exc],OB_Act[[#This Row],[Dummy_Exc]])</f>
        <v>4.1841004184100415E-3</v>
      </c>
      <c r="Q115" s="105" t="str">
        <f>OB_Act[[#This Row],[Day]]&amp;OB_Act[[#This Row],[Dump Truck]]&amp;OB_Act[[#This Row],[Pit]]&amp;OB_Act[[#This Row],[Shift]]</f>
        <v/>
      </c>
      <c r="R115" s="126">
        <f>1/COUNTIF(OB_Act[Dummy_DT],OB_Act[[#This Row],[Dummy_DT]])</f>
        <v>4.1841004184100415E-3</v>
      </c>
      <c r="S115" s="126">
        <f>OB_Act[[#This Row],[Distance (Meter)]]*OB_Act[[#This Row],[Volume (BCM)]]</f>
        <v>0</v>
      </c>
      <c r="T115" s="105" t="str">
        <f>OB_Act[[#This Row],[Day]]&amp;OB_Act[[#This Row],[Dump Truck]]&amp;OB_Act[[#This Row],[Contractor]]&amp;OB_Act[[#This Row],[Excavator]]&amp;OB_Act[[#This Row],[Shift]]</f>
        <v/>
      </c>
      <c r="U115" s="126">
        <f>1/COUNTIF(OB_Act[Dummy_DT/Exc],OB_Act[[#This Row],[Dummy_DT/Exc]])</f>
        <v>4.1841004184100415E-3</v>
      </c>
      <c r="V115" s="126" t="e">
        <f>VLOOKUP(OB_Act[[#This Row],[Day]],$AO$2:$AR$32,4,0)</f>
        <v>#N/A</v>
      </c>
      <c r="W115" s="126" t="e">
        <f>VLOOKUP(OB_Act[[#This Row],[Dump Area]],$AE$2:$AF$51,2,0)</f>
        <v>#N/A</v>
      </c>
      <c r="X115" s="126" t="str">
        <f>OB_Act[[#This Row],[Excavator]]&amp;OB_Act[[#This Row],[Contractor]]</f>
        <v/>
      </c>
      <c r="Y115" s="126" t="e">
        <f>IF(OB_Act[[#This Row],[Material]]="MUD",VLOOKUP(OB_Act[[#This Row],[Dump Truck]],Type_mud[[Nama DT]:[Type]],2,0),VLOOKUP(OB_Act[[#This Row],[Dump Truck]],Type_DT_OB[[Nama DT]:[Type]],4,0))</f>
        <v>#N/A</v>
      </c>
      <c r="Z115" s="126" t="e">
        <f>"JBG-OP1-CENTRAL-"&amp;VLOOKUP(OB_Act[[#This Row],[Pit]],$AK$2:$AL$9,2,0)&amp;"-WASTE-"&amp;OB_Act[[#This Row],[Material]]</f>
        <v>#N/A</v>
      </c>
      <c r="AA115" s="126" t="e">
        <f>"JBG-DUMP1-"&amp;VLOOKUP(OB_Act[[#This Row],[Dump]],$AF$2:$AG$55,2,0)&amp;"-"&amp;OB_Act[[#This Row],[Material]]</f>
        <v>#N/A</v>
      </c>
      <c r="AB115" s="126" t="str">
        <f>"JBG-"&amp;OB_Act[[#This Row],[Material]]</f>
        <v>JBG-</v>
      </c>
      <c r="BD115" s="105" t="str">
        <f>RIGHT(Type_DT_OB[[#This Row],[Nama DT]],3)</f>
        <v>971</v>
      </c>
      <c r="BE115" s="105" t="s">
        <v>491</v>
      </c>
      <c r="BF115" s="105">
        <v>11</v>
      </c>
      <c r="BG115" s="105">
        <v>10</v>
      </c>
      <c r="BH115" s="105" t="s">
        <v>467</v>
      </c>
      <c r="BI115" s="105" t="s">
        <v>431</v>
      </c>
      <c r="BK115" s="105" t="str">
        <f>RIGHT(Type_mud[[#This Row],[Nama DT]],3)</f>
        <v>971</v>
      </c>
      <c r="BL115" s="105" t="s">
        <v>491</v>
      </c>
      <c r="BM115" s="105" t="s">
        <v>656</v>
      </c>
    </row>
    <row r="116" spans="13:65">
      <c r="M116" s="105">
        <f>OB_Act[[#This Row],[Volume (BCM)]]*OB_Act[[#This Row],[Distance (Meter)]]</f>
        <v>0</v>
      </c>
      <c r="N116" s="105" t="str">
        <f>LEFT(OB_Act[[#This Row],[Dump Truck]],3)</f>
        <v/>
      </c>
      <c r="O116" s="126" t="str">
        <f>OB_Act[[#This Row],[Day]]&amp;OB_Act[[#This Row],[Excavator]]&amp;OB_Act[[#This Row],[Contractor]]&amp;OB_Act[[#This Row],[Pit]]&amp;OB_Act[[#This Row],[Shift]]</f>
        <v/>
      </c>
      <c r="P116" s="126">
        <f>1/COUNTIF(OB_Act[Dummy_Exc],OB_Act[[#This Row],[Dummy_Exc]])</f>
        <v>4.1841004184100415E-3</v>
      </c>
      <c r="Q116" s="105" t="str">
        <f>OB_Act[[#This Row],[Day]]&amp;OB_Act[[#This Row],[Dump Truck]]&amp;OB_Act[[#This Row],[Pit]]&amp;OB_Act[[#This Row],[Shift]]</f>
        <v/>
      </c>
      <c r="R116" s="126">
        <f>1/COUNTIF(OB_Act[Dummy_DT],OB_Act[[#This Row],[Dummy_DT]])</f>
        <v>4.1841004184100415E-3</v>
      </c>
      <c r="S116" s="126">
        <f>OB_Act[[#This Row],[Distance (Meter)]]*OB_Act[[#This Row],[Volume (BCM)]]</f>
        <v>0</v>
      </c>
      <c r="T116" s="105" t="str">
        <f>OB_Act[[#This Row],[Day]]&amp;OB_Act[[#This Row],[Dump Truck]]&amp;OB_Act[[#This Row],[Contractor]]&amp;OB_Act[[#This Row],[Excavator]]&amp;OB_Act[[#This Row],[Shift]]</f>
        <v/>
      </c>
      <c r="U116" s="126">
        <f>1/COUNTIF(OB_Act[Dummy_DT/Exc],OB_Act[[#This Row],[Dummy_DT/Exc]])</f>
        <v>4.1841004184100415E-3</v>
      </c>
      <c r="V116" s="126" t="e">
        <f>VLOOKUP(OB_Act[[#This Row],[Day]],$AO$2:$AR$32,4,0)</f>
        <v>#N/A</v>
      </c>
      <c r="W116" s="126" t="e">
        <f>VLOOKUP(OB_Act[[#This Row],[Dump Area]],$AE$2:$AF$51,2,0)</f>
        <v>#N/A</v>
      </c>
      <c r="X116" s="126" t="str">
        <f>OB_Act[[#This Row],[Excavator]]&amp;OB_Act[[#This Row],[Contractor]]</f>
        <v/>
      </c>
      <c r="Y116" s="126" t="e">
        <f>IF(OB_Act[[#This Row],[Material]]="MUD",VLOOKUP(OB_Act[[#This Row],[Dump Truck]],Type_mud[[Nama DT]:[Type]],2,0),VLOOKUP(OB_Act[[#This Row],[Dump Truck]],Type_DT_OB[[Nama DT]:[Type]],4,0))</f>
        <v>#N/A</v>
      </c>
      <c r="Z116" s="126" t="e">
        <f>"JBG-OP1-CENTRAL-"&amp;VLOOKUP(OB_Act[[#This Row],[Pit]],$AK$2:$AL$9,2,0)&amp;"-WASTE-"&amp;OB_Act[[#This Row],[Material]]</f>
        <v>#N/A</v>
      </c>
      <c r="AA116" s="126" t="e">
        <f>"JBG-DUMP1-"&amp;VLOOKUP(OB_Act[[#This Row],[Dump]],$AF$2:$AG$55,2,0)&amp;"-"&amp;OB_Act[[#This Row],[Material]]</f>
        <v>#N/A</v>
      </c>
      <c r="AB116" s="126" t="str">
        <f>"JBG-"&amp;OB_Act[[#This Row],[Material]]</f>
        <v>JBG-</v>
      </c>
      <c r="BD116" s="105" t="str">
        <f>RIGHT(Type_DT_OB[[#This Row],[Nama DT]],3)</f>
        <v>972</v>
      </c>
      <c r="BE116" s="105" t="s">
        <v>492</v>
      </c>
      <c r="BF116" s="105">
        <v>11</v>
      </c>
      <c r="BG116" s="105">
        <v>10</v>
      </c>
      <c r="BH116" s="105" t="s">
        <v>467</v>
      </c>
      <c r="BI116" s="105" t="s">
        <v>431</v>
      </c>
      <c r="BK116" s="105" t="str">
        <f>RIGHT(Type_mud[[#This Row],[Nama DT]],3)</f>
        <v>972</v>
      </c>
      <c r="BL116" s="105" t="s">
        <v>492</v>
      </c>
      <c r="BM116" s="105" t="s">
        <v>656</v>
      </c>
    </row>
    <row r="117" spans="13:65">
      <c r="M117" s="105">
        <f>OB_Act[[#This Row],[Volume (BCM)]]*OB_Act[[#This Row],[Distance (Meter)]]</f>
        <v>0</v>
      </c>
      <c r="N117" s="105" t="str">
        <f>LEFT(OB_Act[[#This Row],[Dump Truck]],3)</f>
        <v/>
      </c>
      <c r="O117" s="126" t="str">
        <f>OB_Act[[#This Row],[Day]]&amp;OB_Act[[#This Row],[Excavator]]&amp;OB_Act[[#This Row],[Contractor]]&amp;OB_Act[[#This Row],[Pit]]&amp;OB_Act[[#This Row],[Shift]]</f>
        <v/>
      </c>
      <c r="P117" s="126">
        <f>1/COUNTIF(OB_Act[Dummy_Exc],OB_Act[[#This Row],[Dummy_Exc]])</f>
        <v>4.1841004184100415E-3</v>
      </c>
      <c r="Q117" s="105" t="str">
        <f>OB_Act[[#This Row],[Day]]&amp;OB_Act[[#This Row],[Dump Truck]]&amp;OB_Act[[#This Row],[Pit]]&amp;OB_Act[[#This Row],[Shift]]</f>
        <v/>
      </c>
      <c r="R117" s="126">
        <f>1/COUNTIF(OB_Act[Dummy_DT],OB_Act[[#This Row],[Dummy_DT]])</f>
        <v>4.1841004184100415E-3</v>
      </c>
      <c r="S117" s="126">
        <f>OB_Act[[#This Row],[Distance (Meter)]]*OB_Act[[#This Row],[Volume (BCM)]]</f>
        <v>0</v>
      </c>
      <c r="T117" s="105" t="str">
        <f>OB_Act[[#This Row],[Day]]&amp;OB_Act[[#This Row],[Dump Truck]]&amp;OB_Act[[#This Row],[Contractor]]&amp;OB_Act[[#This Row],[Excavator]]&amp;OB_Act[[#This Row],[Shift]]</f>
        <v/>
      </c>
      <c r="U117" s="126">
        <f>1/COUNTIF(OB_Act[Dummy_DT/Exc],OB_Act[[#This Row],[Dummy_DT/Exc]])</f>
        <v>4.1841004184100415E-3</v>
      </c>
      <c r="V117" s="126" t="e">
        <f>VLOOKUP(OB_Act[[#This Row],[Day]],$AO$2:$AR$32,4,0)</f>
        <v>#N/A</v>
      </c>
      <c r="W117" s="126" t="e">
        <f>VLOOKUP(OB_Act[[#This Row],[Dump Area]],$AE$2:$AF$51,2,0)</f>
        <v>#N/A</v>
      </c>
      <c r="X117" s="126" t="str">
        <f>OB_Act[[#This Row],[Excavator]]&amp;OB_Act[[#This Row],[Contractor]]</f>
        <v/>
      </c>
      <c r="Y117" s="126" t="e">
        <f>IF(OB_Act[[#This Row],[Material]]="MUD",VLOOKUP(OB_Act[[#This Row],[Dump Truck]],Type_mud[[Nama DT]:[Type]],2,0),VLOOKUP(OB_Act[[#This Row],[Dump Truck]],Type_DT_OB[[Nama DT]:[Type]],4,0))</f>
        <v>#N/A</v>
      </c>
      <c r="Z117" s="126" t="e">
        <f>"JBG-OP1-CENTRAL-"&amp;VLOOKUP(OB_Act[[#This Row],[Pit]],$AK$2:$AL$9,2,0)&amp;"-WASTE-"&amp;OB_Act[[#This Row],[Material]]</f>
        <v>#N/A</v>
      </c>
      <c r="AA117" s="126" t="e">
        <f>"JBG-DUMP1-"&amp;VLOOKUP(OB_Act[[#This Row],[Dump]],$AF$2:$AG$55,2,0)&amp;"-"&amp;OB_Act[[#This Row],[Material]]</f>
        <v>#N/A</v>
      </c>
      <c r="AB117" s="126" t="str">
        <f>"JBG-"&amp;OB_Act[[#This Row],[Material]]</f>
        <v>JBG-</v>
      </c>
      <c r="BD117" s="105" t="str">
        <f>RIGHT(Type_DT_OB[[#This Row],[Nama DT]],3)</f>
        <v>973</v>
      </c>
      <c r="BE117" s="105" t="s">
        <v>493</v>
      </c>
      <c r="BF117" s="105">
        <v>11</v>
      </c>
      <c r="BG117" s="105">
        <v>10</v>
      </c>
      <c r="BH117" s="105" t="s">
        <v>467</v>
      </c>
      <c r="BI117" s="105" t="s">
        <v>431</v>
      </c>
      <c r="BK117" s="105" t="str">
        <f>RIGHT(Type_mud[[#This Row],[Nama DT]],3)</f>
        <v>973</v>
      </c>
      <c r="BL117" s="105" t="s">
        <v>493</v>
      </c>
      <c r="BM117" s="105" t="s">
        <v>656</v>
      </c>
    </row>
    <row r="118" spans="13:65">
      <c r="M118" s="105">
        <f>OB_Act[[#This Row],[Volume (BCM)]]*OB_Act[[#This Row],[Distance (Meter)]]</f>
        <v>0</v>
      </c>
      <c r="N118" s="105" t="str">
        <f>LEFT(OB_Act[[#This Row],[Dump Truck]],3)</f>
        <v/>
      </c>
      <c r="O118" s="126" t="str">
        <f>OB_Act[[#This Row],[Day]]&amp;OB_Act[[#This Row],[Excavator]]&amp;OB_Act[[#This Row],[Contractor]]&amp;OB_Act[[#This Row],[Pit]]&amp;OB_Act[[#This Row],[Shift]]</f>
        <v/>
      </c>
      <c r="P118" s="126">
        <f>1/COUNTIF(OB_Act[Dummy_Exc],OB_Act[[#This Row],[Dummy_Exc]])</f>
        <v>4.1841004184100415E-3</v>
      </c>
      <c r="Q118" s="105" t="str">
        <f>OB_Act[[#This Row],[Day]]&amp;OB_Act[[#This Row],[Dump Truck]]&amp;OB_Act[[#This Row],[Pit]]&amp;OB_Act[[#This Row],[Shift]]</f>
        <v/>
      </c>
      <c r="R118" s="126">
        <f>1/COUNTIF(OB_Act[Dummy_DT],OB_Act[[#This Row],[Dummy_DT]])</f>
        <v>4.1841004184100415E-3</v>
      </c>
      <c r="S118" s="126">
        <f>OB_Act[[#This Row],[Distance (Meter)]]*OB_Act[[#This Row],[Volume (BCM)]]</f>
        <v>0</v>
      </c>
      <c r="T118" s="105" t="str">
        <f>OB_Act[[#This Row],[Day]]&amp;OB_Act[[#This Row],[Dump Truck]]&amp;OB_Act[[#This Row],[Contractor]]&amp;OB_Act[[#This Row],[Excavator]]&amp;OB_Act[[#This Row],[Shift]]</f>
        <v/>
      </c>
      <c r="U118" s="126">
        <f>1/COUNTIF(OB_Act[Dummy_DT/Exc],OB_Act[[#This Row],[Dummy_DT/Exc]])</f>
        <v>4.1841004184100415E-3</v>
      </c>
      <c r="V118" s="126" t="e">
        <f>VLOOKUP(OB_Act[[#This Row],[Day]],$AO$2:$AR$32,4,0)</f>
        <v>#N/A</v>
      </c>
      <c r="W118" s="126" t="e">
        <f>VLOOKUP(OB_Act[[#This Row],[Dump Area]],$AE$2:$AF$51,2,0)</f>
        <v>#N/A</v>
      </c>
      <c r="X118" s="126" t="str">
        <f>OB_Act[[#This Row],[Excavator]]&amp;OB_Act[[#This Row],[Contractor]]</f>
        <v/>
      </c>
      <c r="Y118" s="126" t="e">
        <f>IF(OB_Act[[#This Row],[Material]]="MUD",VLOOKUP(OB_Act[[#This Row],[Dump Truck]],Type_mud[[Nama DT]:[Type]],2,0),VLOOKUP(OB_Act[[#This Row],[Dump Truck]],Type_DT_OB[[Nama DT]:[Type]],4,0))</f>
        <v>#N/A</v>
      </c>
      <c r="Z118" s="126" t="e">
        <f>"JBG-OP1-CENTRAL-"&amp;VLOOKUP(OB_Act[[#This Row],[Pit]],$AK$2:$AL$9,2,0)&amp;"-WASTE-"&amp;OB_Act[[#This Row],[Material]]</f>
        <v>#N/A</v>
      </c>
      <c r="AA118" s="126" t="e">
        <f>"JBG-DUMP1-"&amp;VLOOKUP(OB_Act[[#This Row],[Dump]],$AF$2:$AG$55,2,0)&amp;"-"&amp;OB_Act[[#This Row],[Material]]</f>
        <v>#N/A</v>
      </c>
      <c r="AB118" s="126" t="str">
        <f>"JBG-"&amp;OB_Act[[#This Row],[Material]]</f>
        <v>JBG-</v>
      </c>
      <c r="BD118" s="105" t="str">
        <f>RIGHT(Type_DT_OB[[#This Row],[Nama DT]],3)</f>
        <v>974</v>
      </c>
      <c r="BE118" s="105" t="s">
        <v>494</v>
      </c>
      <c r="BF118" s="105">
        <v>11</v>
      </c>
      <c r="BG118" s="105">
        <v>10</v>
      </c>
      <c r="BH118" s="105" t="s">
        <v>467</v>
      </c>
      <c r="BI118" s="105" t="s">
        <v>431</v>
      </c>
      <c r="BK118" s="105" t="str">
        <f>RIGHT(Type_mud[[#This Row],[Nama DT]],3)</f>
        <v>974</v>
      </c>
      <c r="BL118" s="105" t="s">
        <v>494</v>
      </c>
      <c r="BM118" s="105" t="s">
        <v>656</v>
      </c>
    </row>
    <row r="119" spans="13:65">
      <c r="M119" s="105">
        <f>OB_Act[[#This Row],[Volume (BCM)]]*OB_Act[[#This Row],[Distance (Meter)]]</f>
        <v>0</v>
      </c>
      <c r="N119" s="105" t="str">
        <f>LEFT(OB_Act[[#This Row],[Dump Truck]],3)</f>
        <v/>
      </c>
      <c r="O119" s="126" t="str">
        <f>OB_Act[[#This Row],[Day]]&amp;OB_Act[[#This Row],[Excavator]]&amp;OB_Act[[#This Row],[Contractor]]&amp;OB_Act[[#This Row],[Pit]]&amp;OB_Act[[#This Row],[Shift]]</f>
        <v/>
      </c>
      <c r="P119" s="126">
        <f>1/COUNTIF(OB_Act[Dummy_Exc],OB_Act[[#This Row],[Dummy_Exc]])</f>
        <v>4.1841004184100415E-3</v>
      </c>
      <c r="Q119" s="105" t="str">
        <f>OB_Act[[#This Row],[Day]]&amp;OB_Act[[#This Row],[Dump Truck]]&amp;OB_Act[[#This Row],[Pit]]&amp;OB_Act[[#This Row],[Shift]]</f>
        <v/>
      </c>
      <c r="R119" s="126">
        <f>1/COUNTIF(OB_Act[Dummy_DT],OB_Act[[#This Row],[Dummy_DT]])</f>
        <v>4.1841004184100415E-3</v>
      </c>
      <c r="S119" s="126">
        <f>OB_Act[[#This Row],[Distance (Meter)]]*OB_Act[[#This Row],[Volume (BCM)]]</f>
        <v>0</v>
      </c>
      <c r="T119" s="105" t="str">
        <f>OB_Act[[#This Row],[Day]]&amp;OB_Act[[#This Row],[Dump Truck]]&amp;OB_Act[[#This Row],[Contractor]]&amp;OB_Act[[#This Row],[Excavator]]&amp;OB_Act[[#This Row],[Shift]]</f>
        <v/>
      </c>
      <c r="U119" s="126">
        <f>1/COUNTIF(OB_Act[Dummy_DT/Exc],OB_Act[[#This Row],[Dummy_DT/Exc]])</f>
        <v>4.1841004184100415E-3</v>
      </c>
      <c r="V119" s="126" t="e">
        <f>VLOOKUP(OB_Act[[#This Row],[Day]],$AO$2:$AR$32,4,0)</f>
        <v>#N/A</v>
      </c>
      <c r="W119" s="126" t="e">
        <f>VLOOKUP(OB_Act[[#This Row],[Dump Area]],$AE$2:$AF$51,2,0)</f>
        <v>#N/A</v>
      </c>
      <c r="X119" s="126" t="str">
        <f>OB_Act[[#This Row],[Excavator]]&amp;OB_Act[[#This Row],[Contractor]]</f>
        <v/>
      </c>
      <c r="Y119" s="126" t="e">
        <f>IF(OB_Act[[#This Row],[Material]]="MUD",VLOOKUP(OB_Act[[#This Row],[Dump Truck]],Type_mud[[Nama DT]:[Type]],2,0),VLOOKUP(OB_Act[[#This Row],[Dump Truck]],Type_DT_OB[[Nama DT]:[Type]],4,0))</f>
        <v>#N/A</v>
      </c>
      <c r="Z119" s="126" t="e">
        <f>"JBG-OP1-CENTRAL-"&amp;VLOOKUP(OB_Act[[#This Row],[Pit]],$AK$2:$AL$9,2,0)&amp;"-WASTE-"&amp;OB_Act[[#This Row],[Material]]</f>
        <v>#N/A</v>
      </c>
      <c r="AA119" s="126" t="e">
        <f>"JBG-DUMP1-"&amp;VLOOKUP(OB_Act[[#This Row],[Dump]],$AF$2:$AG$55,2,0)&amp;"-"&amp;OB_Act[[#This Row],[Material]]</f>
        <v>#N/A</v>
      </c>
      <c r="AB119" s="126" t="str">
        <f>"JBG-"&amp;OB_Act[[#This Row],[Material]]</f>
        <v>JBG-</v>
      </c>
      <c r="BD119" s="105" t="str">
        <f>RIGHT(Type_DT_OB[[#This Row],[Nama DT]],3)</f>
        <v>975</v>
      </c>
      <c r="BE119" s="105" t="s">
        <v>495</v>
      </c>
      <c r="BF119" s="105">
        <v>11</v>
      </c>
      <c r="BG119" s="105">
        <v>10</v>
      </c>
      <c r="BH119" s="105" t="s">
        <v>467</v>
      </c>
      <c r="BI119" s="105" t="s">
        <v>431</v>
      </c>
      <c r="BK119" s="105" t="str">
        <f>RIGHT(Type_mud[[#This Row],[Nama DT]],3)</f>
        <v>975</v>
      </c>
      <c r="BL119" s="105" t="s">
        <v>495</v>
      </c>
      <c r="BM119" s="105" t="s">
        <v>656</v>
      </c>
    </row>
    <row r="120" spans="13:65">
      <c r="M120" s="105">
        <f>OB_Act[[#This Row],[Volume (BCM)]]*OB_Act[[#This Row],[Distance (Meter)]]</f>
        <v>0</v>
      </c>
      <c r="N120" s="105" t="str">
        <f>LEFT(OB_Act[[#This Row],[Dump Truck]],3)</f>
        <v/>
      </c>
      <c r="O120" s="126" t="str">
        <f>OB_Act[[#This Row],[Day]]&amp;OB_Act[[#This Row],[Excavator]]&amp;OB_Act[[#This Row],[Contractor]]&amp;OB_Act[[#This Row],[Pit]]&amp;OB_Act[[#This Row],[Shift]]</f>
        <v/>
      </c>
      <c r="P120" s="126">
        <f>1/COUNTIF(OB_Act[Dummy_Exc],OB_Act[[#This Row],[Dummy_Exc]])</f>
        <v>4.1841004184100415E-3</v>
      </c>
      <c r="Q120" s="105" t="str">
        <f>OB_Act[[#This Row],[Day]]&amp;OB_Act[[#This Row],[Dump Truck]]&amp;OB_Act[[#This Row],[Pit]]&amp;OB_Act[[#This Row],[Shift]]</f>
        <v/>
      </c>
      <c r="R120" s="126">
        <f>1/COUNTIF(OB_Act[Dummy_DT],OB_Act[[#This Row],[Dummy_DT]])</f>
        <v>4.1841004184100415E-3</v>
      </c>
      <c r="S120" s="126">
        <f>OB_Act[[#This Row],[Distance (Meter)]]*OB_Act[[#This Row],[Volume (BCM)]]</f>
        <v>0</v>
      </c>
      <c r="T120" s="105" t="str">
        <f>OB_Act[[#This Row],[Day]]&amp;OB_Act[[#This Row],[Dump Truck]]&amp;OB_Act[[#This Row],[Contractor]]&amp;OB_Act[[#This Row],[Excavator]]&amp;OB_Act[[#This Row],[Shift]]</f>
        <v/>
      </c>
      <c r="U120" s="126">
        <f>1/COUNTIF(OB_Act[Dummy_DT/Exc],OB_Act[[#This Row],[Dummy_DT/Exc]])</f>
        <v>4.1841004184100415E-3</v>
      </c>
      <c r="V120" s="126" t="e">
        <f>VLOOKUP(OB_Act[[#This Row],[Day]],$AO$2:$AR$32,4,0)</f>
        <v>#N/A</v>
      </c>
      <c r="W120" s="126" t="e">
        <f>VLOOKUP(OB_Act[[#This Row],[Dump Area]],$AE$2:$AF$51,2,0)</f>
        <v>#N/A</v>
      </c>
      <c r="X120" s="126" t="str">
        <f>OB_Act[[#This Row],[Excavator]]&amp;OB_Act[[#This Row],[Contractor]]</f>
        <v/>
      </c>
      <c r="Y120" s="126" t="e">
        <f>IF(OB_Act[[#This Row],[Material]]="MUD",VLOOKUP(OB_Act[[#This Row],[Dump Truck]],Type_mud[[Nama DT]:[Type]],2,0),VLOOKUP(OB_Act[[#This Row],[Dump Truck]],Type_DT_OB[[Nama DT]:[Type]],4,0))</f>
        <v>#N/A</v>
      </c>
      <c r="Z120" s="126" t="e">
        <f>"JBG-OP1-CENTRAL-"&amp;VLOOKUP(OB_Act[[#This Row],[Pit]],$AK$2:$AL$9,2,0)&amp;"-WASTE-"&amp;OB_Act[[#This Row],[Material]]</f>
        <v>#N/A</v>
      </c>
      <c r="AA120" s="126" t="e">
        <f>"JBG-DUMP1-"&amp;VLOOKUP(OB_Act[[#This Row],[Dump]],$AF$2:$AG$55,2,0)&amp;"-"&amp;OB_Act[[#This Row],[Material]]</f>
        <v>#N/A</v>
      </c>
      <c r="AB120" s="126" t="str">
        <f>"JBG-"&amp;OB_Act[[#This Row],[Material]]</f>
        <v>JBG-</v>
      </c>
      <c r="BD120" s="105" t="str">
        <f>RIGHT(Type_DT_OB[[#This Row],[Nama DT]],3)</f>
        <v>976</v>
      </c>
      <c r="BE120" s="105" t="s">
        <v>496</v>
      </c>
      <c r="BF120" s="105">
        <v>11</v>
      </c>
      <c r="BG120" s="105">
        <v>10</v>
      </c>
      <c r="BH120" s="105" t="s">
        <v>467</v>
      </c>
      <c r="BI120" s="105" t="s">
        <v>431</v>
      </c>
      <c r="BK120" s="105" t="str">
        <f>RIGHT(Type_mud[[#This Row],[Nama DT]],3)</f>
        <v>976</v>
      </c>
      <c r="BL120" s="105" t="s">
        <v>496</v>
      </c>
      <c r="BM120" s="105" t="s">
        <v>656</v>
      </c>
    </row>
    <row r="121" spans="13:65">
      <c r="M121" s="105">
        <f>OB_Act[[#This Row],[Volume (BCM)]]*OB_Act[[#This Row],[Distance (Meter)]]</f>
        <v>0</v>
      </c>
      <c r="N121" s="105" t="str">
        <f>LEFT(OB_Act[[#This Row],[Dump Truck]],3)</f>
        <v/>
      </c>
      <c r="O121" s="126" t="str">
        <f>OB_Act[[#This Row],[Day]]&amp;OB_Act[[#This Row],[Excavator]]&amp;OB_Act[[#This Row],[Contractor]]&amp;OB_Act[[#This Row],[Pit]]&amp;OB_Act[[#This Row],[Shift]]</f>
        <v/>
      </c>
      <c r="P121" s="126">
        <f>1/COUNTIF(OB_Act[Dummy_Exc],OB_Act[[#This Row],[Dummy_Exc]])</f>
        <v>4.1841004184100415E-3</v>
      </c>
      <c r="Q121" s="105" t="str">
        <f>OB_Act[[#This Row],[Day]]&amp;OB_Act[[#This Row],[Dump Truck]]&amp;OB_Act[[#This Row],[Pit]]&amp;OB_Act[[#This Row],[Shift]]</f>
        <v/>
      </c>
      <c r="R121" s="126">
        <f>1/COUNTIF(OB_Act[Dummy_DT],OB_Act[[#This Row],[Dummy_DT]])</f>
        <v>4.1841004184100415E-3</v>
      </c>
      <c r="S121" s="126">
        <f>OB_Act[[#This Row],[Distance (Meter)]]*OB_Act[[#This Row],[Volume (BCM)]]</f>
        <v>0</v>
      </c>
      <c r="T121" s="105" t="str">
        <f>OB_Act[[#This Row],[Day]]&amp;OB_Act[[#This Row],[Dump Truck]]&amp;OB_Act[[#This Row],[Contractor]]&amp;OB_Act[[#This Row],[Excavator]]&amp;OB_Act[[#This Row],[Shift]]</f>
        <v/>
      </c>
      <c r="U121" s="126">
        <f>1/COUNTIF(OB_Act[Dummy_DT/Exc],OB_Act[[#This Row],[Dummy_DT/Exc]])</f>
        <v>4.1841004184100415E-3</v>
      </c>
      <c r="V121" s="126" t="e">
        <f>VLOOKUP(OB_Act[[#This Row],[Day]],$AO$2:$AR$32,4,0)</f>
        <v>#N/A</v>
      </c>
      <c r="W121" s="126" t="e">
        <f>VLOOKUP(OB_Act[[#This Row],[Dump Area]],$AE$2:$AF$51,2,0)</f>
        <v>#N/A</v>
      </c>
      <c r="X121" s="126" t="str">
        <f>OB_Act[[#This Row],[Excavator]]&amp;OB_Act[[#This Row],[Contractor]]</f>
        <v/>
      </c>
      <c r="Y121" s="126" t="e">
        <f>IF(OB_Act[[#This Row],[Material]]="MUD",VLOOKUP(OB_Act[[#This Row],[Dump Truck]],Type_mud[[Nama DT]:[Type]],2,0),VLOOKUP(OB_Act[[#This Row],[Dump Truck]],Type_DT_OB[[Nama DT]:[Type]],4,0))</f>
        <v>#N/A</v>
      </c>
      <c r="Z121" s="126" t="e">
        <f>"JBG-OP1-CENTRAL-"&amp;VLOOKUP(OB_Act[[#This Row],[Pit]],$AK$2:$AL$9,2,0)&amp;"-WASTE-"&amp;OB_Act[[#This Row],[Material]]</f>
        <v>#N/A</v>
      </c>
      <c r="AA121" s="126" t="e">
        <f>"JBG-DUMP1-"&amp;VLOOKUP(OB_Act[[#This Row],[Dump]],$AF$2:$AG$55,2,0)&amp;"-"&amp;OB_Act[[#This Row],[Material]]</f>
        <v>#N/A</v>
      </c>
      <c r="AB121" s="126" t="str">
        <f>"JBG-"&amp;OB_Act[[#This Row],[Material]]</f>
        <v>JBG-</v>
      </c>
      <c r="BD121" s="105" t="str">
        <f>RIGHT(Type_DT_OB[[#This Row],[Nama DT]],3)</f>
        <v>977</v>
      </c>
      <c r="BE121" s="105" t="s">
        <v>497</v>
      </c>
      <c r="BF121" s="105">
        <v>11</v>
      </c>
      <c r="BG121" s="105">
        <v>10</v>
      </c>
      <c r="BH121" s="105" t="s">
        <v>467</v>
      </c>
      <c r="BI121" s="105" t="s">
        <v>431</v>
      </c>
      <c r="BK121" s="105" t="str">
        <f>RIGHT(Type_mud[[#This Row],[Nama DT]],3)</f>
        <v>977</v>
      </c>
      <c r="BL121" s="105" t="s">
        <v>497</v>
      </c>
      <c r="BM121" s="105" t="s">
        <v>656</v>
      </c>
    </row>
    <row r="122" spans="13:65">
      <c r="M122" s="105">
        <f>OB_Act[[#This Row],[Volume (BCM)]]*OB_Act[[#This Row],[Distance (Meter)]]</f>
        <v>0</v>
      </c>
      <c r="N122" s="105" t="str">
        <f>LEFT(OB_Act[[#This Row],[Dump Truck]],3)</f>
        <v/>
      </c>
      <c r="O122" s="126" t="str">
        <f>OB_Act[[#This Row],[Day]]&amp;OB_Act[[#This Row],[Excavator]]&amp;OB_Act[[#This Row],[Contractor]]&amp;OB_Act[[#This Row],[Pit]]&amp;OB_Act[[#This Row],[Shift]]</f>
        <v/>
      </c>
      <c r="P122" s="126">
        <f>1/COUNTIF(OB_Act[Dummy_Exc],OB_Act[[#This Row],[Dummy_Exc]])</f>
        <v>4.1841004184100415E-3</v>
      </c>
      <c r="Q122" s="105" t="str">
        <f>OB_Act[[#This Row],[Day]]&amp;OB_Act[[#This Row],[Dump Truck]]&amp;OB_Act[[#This Row],[Pit]]&amp;OB_Act[[#This Row],[Shift]]</f>
        <v/>
      </c>
      <c r="R122" s="126">
        <f>1/COUNTIF(OB_Act[Dummy_DT],OB_Act[[#This Row],[Dummy_DT]])</f>
        <v>4.1841004184100415E-3</v>
      </c>
      <c r="S122" s="126">
        <f>OB_Act[[#This Row],[Distance (Meter)]]*OB_Act[[#This Row],[Volume (BCM)]]</f>
        <v>0</v>
      </c>
      <c r="T122" s="105" t="str">
        <f>OB_Act[[#This Row],[Day]]&amp;OB_Act[[#This Row],[Dump Truck]]&amp;OB_Act[[#This Row],[Contractor]]&amp;OB_Act[[#This Row],[Excavator]]&amp;OB_Act[[#This Row],[Shift]]</f>
        <v/>
      </c>
      <c r="U122" s="126">
        <f>1/COUNTIF(OB_Act[Dummy_DT/Exc],OB_Act[[#This Row],[Dummy_DT/Exc]])</f>
        <v>4.1841004184100415E-3</v>
      </c>
      <c r="V122" s="126" t="e">
        <f>VLOOKUP(OB_Act[[#This Row],[Day]],$AO$2:$AR$32,4,0)</f>
        <v>#N/A</v>
      </c>
      <c r="W122" s="126" t="e">
        <f>VLOOKUP(OB_Act[[#This Row],[Dump Area]],$AE$2:$AF$51,2,0)</f>
        <v>#N/A</v>
      </c>
      <c r="X122" s="126" t="str">
        <f>OB_Act[[#This Row],[Excavator]]&amp;OB_Act[[#This Row],[Contractor]]</f>
        <v/>
      </c>
      <c r="Y122" s="126" t="e">
        <f>IF(OB_Act[[#This Row],[Material]]="MUD",VLOOKUP(OB_Act[[#This Row],[Dump Truck]],Type_mud[[Nama DT]:[Type]],2,0),VLOOKUP(OB_Act[[#This Row],[Dump Truck]],Type_DT_OB[[Nama DT]:[Type]],4,0))</f>
        <v>#N/A</v>
      </c>
      <c r="Z122" s="126" t="e">
        <f>"JBG-OP1-CENTRAL-"&amp;VLOOKUP(OB_Act[[#This Row],[Pit]],$AK$2:$AL$9,2,0)&amp;"-WASTE-"&amp;OB_Act[[#This Row],[Material]]</f>
        <v>#N/A</v>
      </c>
      <c r="AA122" s="126" t="e">
        <f>"JBG-DUMP1-"&amp;VLOOKUP(OB_Act[[#This Row],[Dump]],$AF$2:$AG$55,2,0)&amp;"-"&amp;OB_Act[[#This Row],[Material]]</f>
        <v>#N/A</v>
      </c>
      <c r="AB122" s="126" t="str">
        <f>"JBG-"&amp;OB_Act[[#This Row],[Material]]</f>
        <v>JBG-</v>
      </c>
      <c r="BD122" s="105" t="str">
        <f>RIGHT(Type_DT_OB[[#This Row],[Nama DT]],3)</f>
        <v>978</v>
      </c>
      <c r="BE122" s="105" t="s">
        <v>498</v>
      </c>
      <c r="BF122" s="105">
        <v>11</v>
      </c>
      <c r="BG122" s="105">
        <v>10</v>
      </c>
      <c r="BH122" s="105" t="s">
        <v>467</v>
      </c>
      <c r="BI122" s="105" t="s">
        <v>431</v>
      </c>
      <c r="BK122" s="105" t="str">
        <f>RIGHT(Type_mud[[#This Row],[Nama DT]],3)</f>
        <v>978</v>
      </c>
      <c r="BL122" s="105" t="s">
        <v>498</v>
      </c>
      <c r="BM122" s="105" t="s">
        <v>656</v>
      </c>
    </row>
    <row r="123" spans="13:65">
      <c r="M123" s="105">
        <f>OB_Act[[#This Row],[Volume (BCM)]]*OB_Act[[#This Row],[Distance (Meter)]]</f>
        <v>0</v>
      </c>
      <c r="N123" s="105" t="str">
        <f>LEFT(OB_Act[[#This Row],[Dump Truck]],3)</f>
        <v/>
      </c>
      <c r="O123" s="126" t="str">
        <f>OB_Act[[#This Row],[Day]]&amp;OB_Act[[#This Row],[Excavator]]&amp;OB_Act[[#This Row],[Contractor]]&amp;OB_Act[[#This Row],[Pit]]&amp;OB_Act[[#This Row],[Shift]]</f>
        <v/>
      </c>
      <c r="P123" s="126">
        <f>1/COUNTIF(OB_Act[Dummy_Exc],OB_Act[[#This Row],[Dummy_Exc]])</f>
        <v>4.1841004184100415E-3</v>
      </c>
      <c r="Q123" s="105" t="str">
        <f>OB_Act[[#This Row],[Day]]&amp;OB_Act[[#This Row],[Dump Truck]]&amp;OB_Act[[#This Row],[Pit]]&amp;OB_Act[[#This Row],[Shift]]</f>
        <v/>
      </c>
      <c r="R123" s="126">
        <f>1/COUNTIF(OB_Act[Dummy_DT],OB_Act[[#This Row],[Dummy_DT]])</f>
        <v>4.1841004184100415E-3</v>
      </c>
      <c r="S123" s="126">
        <f>OB_Act[[#This Row],[Distance (Meter)]]*OB_Act[[#This Row],[Volume (BCM)]]</f>
        <v>0</v>
      </c>
      <c r="T123" s="105" t="str">
        <f>OB_Act[[#This Row],[Day]]&amp;OB_Act[[#This Row],[Dump Truck]]&amp;OB_Act[[#This Row],[Contractor]]&amp;OB_Act[[#This Row],[Excavator]]&amp;OB_Act[[#This Row],[Shift]]</f>
        <v/>
      </c>
      <c r="U123" s="126">
        <f>1/COUNTIF(OB_Act[Dummy_DT/Exc],OB_Act[[#This Row],[Dummy_DT/Exc]])</f>
        <v>4.1841004184100415E-3</v>
      </c>
      <c r="V123" s="126" t="e">
        <f>VLOOKUP(OB_Act[[#This Row],[Day]],$AO$2:$AR$32,4,0)</f>
        <v>#N/A</v>
      </c>
      <c r="W123" s="126" t="e">
        <f>VLOOKUP(OB_Act[[#This Row],[Dump Area]],$AE$2:$AF$51,2,0)</f>
        <v>#N/A</v>
      </c>
      <c r="X123" s="126" t="str">
        <f>OB_Act[[#This Row],[Excavator]]&amp;OB_Act[[#This Row],[Contractor]]</f>
        <v/>
      </c>
      <c r="Y123" s="126" t="e">
        <f>IF(OB_Act[[#This Row],[Material]]="MUD",VLOOKUP(OB_Act[[#This Row],[Dump Truck]],Type_mud[[Nama DT]:[Type]],2,0),VLOOKUP(OB_Act[[#This Row],[Dump Truck]],Type_DT_OB[[Nama DT]:[Type]],4,0))</f>
        <v>#N/A</v>
      </c>
      <c r="Z123" s="126" t="e">
        <f>"JBG-OP1-CENTRAL-"&amp;VLOOKUP(OB_Act[[#This Row],[Pit]],$AK$2:$AL$9,2,0)&amp;"-WASTE-"&amp;OB_Act[[#This Row],[Material]]</f>
        <v>#N/A</v>
      </c>
      <c r="AA123" s="126" t="e">
        <f>"JBG-DUMP1-"&amp;VLOOKUP(OB_Act[[#This Row],[Dump]],$AF$2:$AG$55,2,0)&amp;"-"&amp;OB_Act[[#This Row],[Material]]</f>
        <v>#N/A</v>
      </c>
      <c r="AB123" s="126" t="str">
        <f>"JBG-"&amp;OB_Act[[#This Row],[Material]]</f>
        <v>JBG-</v>
      </c>
      <c r="BD123" s="105" t="str">
        <f>RIGHT(Type_DT_OB[[#This Row],[Nama DT]],3)</f>
        <v>979</v>
      </c>
      <c r="BE123" s="105" t="s">
        <v>499</v>
      </c>
      <c r="BF123" s="105">
        <v>11</v>
      </c>
      <c r="BG123" s="105">
        <v>10</v>
      </c>
      <c r="BH123" s="105" t="s">
        <v>467</v>
      </c>
      <c r="BI123" s="105" t="s">
        <v>431</v>
      </c>
      <c r="BK123" s="105" t="str">
        <f>RIGHT(Type_mud[[#This Row],[Nama DT]],3)</f>
        <v>979</v>
      </c>
      <c r="BL123" s="105" t="s">
        <v>499</v>
      </c>
      <c r="BM123" s="105" t="s">
        <v>656</v>
      </c>
    </row>
    <row r="124" spans="13:65">
      <c r="M124" s="105">
        <f>OB_Act[[#This Row],[Volume (BCM)]]*OB_Act[[#This Row],[Distance (Meter)]]</f>
        <v>0</v>
      </c>
      <c r="N124" s="105" t="str">
        <f>LEFT(OB_Act[[#This Row],[Dump Truck]],3)</f>
        <v/>
      </c>
      <c r="O124" s="126" t="str">
        <f>OB_Act[[#This Row],[Day]]&amp;OB_Act[[#This Row],[Excavator]]&amp;OB_Act[[#This Row],[Contractor]]&amp;OB_Act[[#This Row],[Pit]]&amp;OB_Act[[#This Row],[Shift]]</f>
        <v/>
      </c>
      <c r="P124" s="126">
        <f>1/COUNTIF(OB_Act[Dummy_Exc],OB_Act[[#This Row],[Dummy_Exc]])</f>
        <v>4.1841004184100415E-3</v>
      </c>
      <c r="Q124" s="105" t="str">
        <f>OB_Act[[#This Row],[Day]]&amp;OB_Act[[#This Row],[Dump Truck]]&amp;OB_Act[[#This Row],[Pit]]&amp;OB_Act[[#This Row],[Shift]]</f>
        <v/>
      </c>
      <c r="R124" s="126">
        <f>1/COUNTIF(OB_Act[Dummy_DT],OB_Act[[#This Row],[Dummy_DT]])</f>
        <v>4.1841004184100415E-3</v>
      </c>
      <c r="S124" s="126">
        <f>OB_Act[[#This Row],[Distance (Meter)]]*OB_Act[[#This Row],[Volume (BCM)]]</f>
        <v>0</v>
      </c>
      <c r="T124" s="105" t="str">
        <f>OB_Act[[#This Row],[Day]]&amp;OB_Act[[#This Row],[Dump Truck]]&amp;OB_Act[[#This Row],[Contractor]]&amp;OB_Act[[#This Row],[Excavator]]&amp;OB_Act[[#This Row],[Shift]]</f>
        <v/>
      </c>
      <c r="U124" s="126">
        <f>1/COUNTIF(OB_Act[Dummy_DT/Exc],OB_Act[[#This Row],[Dummy_DT/Exc]])</f>
        <v>4.1841004184100415E-3</v>
      </c>
      <c r="V124" s="126" t="e">
        <f>VLOOKUP(OB_Act[[#This Row],[Day]],$AO$2:$AR$32,4,0)</f>
        <v>#N/A</v>
      </c>
      <c r="W124" s="126" t="e">
        <f>VLOOKUP(OB_Act[[#This Row],[Dump Area]],$AE$2:$AF$51,2,0)</f>
        <v>#N/A</v>
      </c>
      <c r="X124" s="126" t="str">
        <f>OB_Act[[#This Row],[Excavator]]&amp;OB_Act[[#This Row],[Contractor]]</f>
        <v/>
      </c>
      <c r="Y124" s="126" t="e">
        <f>IF(OB_Act[[#This Row],[Material]]="MUD",VLOOKUP(OB_Act[[#This Row],[Dump Truck]],Type_mud[[Nama DT]:[Type]],2,0),VLOOKUP(OB_Act[[#This Row],[Dump Truck]],Type_DT_OB[[Nama DT]:[Type]],4,0))</f>
        <v>#N/A</v>
      </c>
      <c r="Z124" s="126" t="e">
        <f>"JBG-OP1-CENTRAL-"&amp;VLOOKUP(OB_Act[[#This Row],[Pit]],$AK$2:$AL$9,2,0)&amp;"-WASTE-"&amp;OB_Act[[#This Row],[Material]]</f>
        <v>#N/A</v>
      </c>
      <c r="AA124" s="126" t="e">
        <f>"JBG-DUMP1-"&amp;VLOOKUP(OB_Act[[#This Row],[Dump]],$AF$2:$AG$55,2,0)&amp;"-"&amp;OB_Act[[#This Row],[Material]]</f>
        <v>#N/A</v>
      </c>
      <c r="AB124" s="126" t="str">
        <f>"JBG-"&amp;OB_Act[[#This Row],[Material]]</f>
        <v>JBG-</v>
      </c>
      <c r="BD124" s="105" t="str">
        <f>RIGHT(Type_DT_OB[[#This Row],[Nama DT]],3)</f>
        <v>980</v>
      </c>
      <c r="BE124" s="105" t="s">
        <v>500</v>
      </c>
      <c r="BF124" s="105">
        <v>11</v>
      </c>
      <c r="BG124" s="105">
        <v>10</v>
      </c>
      <c r="BH124" s="105" t="s">
        <v>467</v>
      </c>
      <c r="BI124" s="105" t="s">
        <v>431</v>
      </c>
      <c r="BK124" s="105" t="str">
        <f>RIGHT(Type_mud[[#This Row],[Nama DT]],3)</f>
        <v>980</v>
      </c>
      <c r="BL124" s="105" t="s">
        <v>500</v>
      </c>
      <c r="BM124" s="105" t="s">
        <v>656</v>
      </c>
    </row>
    <row r="125" spans="13:65">
      <c r="M125" s="105">
        <f>OB_Act[[#This Row],[Volume (BCM)]]*OB_Act[[#This Row],[Distance (Meter)]]</f>
        <v>0</v>
      </c>
      <c r="N125" s="105" t="str">
        <f>LEFT(OB_Act[[#This Row],[Dump Truck]],3)</f>
        <v/>
      </c>
      <c r="O125" s="126" t="str">
        <f>OB_Act[[#This Row],[Day]]&amp;OB_Act[[#This Row],[Excavator]]&amp;OB_Act[[#This Row],[Contractor]]&amp;OB_Act[[#This Row],[Pit]]&amp;OB_Act[[#This Row],[Shift]]</f>
        <v/>
      </c>
      <c r="P125" s="126">
        <f>1/COUNTIF(OB_Act[Dummy_Exc],OB_Act[[#This Row],[Dummy_Exc]])</f>
        <v>4.1841004184100415E-3</v>
      </c>
      <c r="Q125" s="105" t="str">
        <f>OB_Act[[#This Row],[Day]]&amp;OB_Act[[#This Row],[Dump Truck]]&amp;OB_Act[[#This Row],[Pit]]&amp;OB_Act[[#This Row],[Shift]]</f>
        <v/>
      </c>
      <c r="R125" s="126">
        <f>1/COUNTIF(OB_Act[Dummy_DT],OB_Act[[#This Row],[Dummy_DT]])</f>
        <v>4.1841004184100415E-3</v>
      </c>
      <c r="S125" s="126">
        <f>OB_Act[[#This Row],[Distance (Meter)]]*OB_Act[[#This Row],[Volume (BCM)]]</f>
        <v>0</v>
      </c>
      <c r="T125" s="105" t="str">
        <f>OB_Act[[#This Row],[Day]]&amp;OB_Act[[#This Row],[Dump Truck]]&amp;OB_Act[[#This Row],[Contractor]]&amp;OB_Act[[#This Row],[Excavator]]&amp;OB_Act[[#This Row],[Shift]]</f>
        <v/>
      </c>
      <c r="U125" s="126">
        <f>1/COUNTIF(OB_Act[Dummy_DT/Exc],OB_Act[[#This Row],[Dummy_DT/Exc]])</f>
        <v>4.1841004184100415E-3</v>
      </c>
      <c r="V125" s="126" t="e">
        <f>VLOOKUP(OB_Act[[#This Row],[Day]],$AO$2:$AR$32,4,0)</f>
        <v>#N/A</v>
      </c>
      <c r="W125" s="126" t="e">
        <f>VLOOKUP(OB_Act[[#This Row],[Dump Area]],$AE$2:$AF$51,2,0)</f>
        <v>#N/A</v>
      </c>
      <c r="X125" s="126" t="str">
        <f>OB_Act[[#This Row],[Excavator]]&amp;OB_Act[[#This Row],[Contractor]]</f>
        <v/>
      </c>
      <c r="Y125" s="126" t="e">
        <f>IF(OB_Act[[#This Row],[Material]]="MUD",VLOOKUP(OB_Act[[#This Row],[Dump Truck]],Type_mud[[Nama DT]:[Type]],2,0),VLOOKUP(OB_Act[[#This Row],[Dump Truck]],Type_DT_OB[[Nama DT]:[Type]],4,0))</f>
        <v>#N/A</v>
      </c>
      <c r="Z125" s="126" t="e">
        <f>"JBG-OP1-CENTRAL-"&amp;VLOOKUP(OB_Act[[#This Row],[Pit]],$AK$2:$AL$9,2,0)&amp;"-WASTE-"&amp;OB_Act[[#This Row],[Material]]</f>
        <v>#N/A</v>
      </c>
      <c r="AA125" s="126" t="e">
        <f>"JBG-DUMP1-"&amp;VLOOKUP(OB_Act[[#This Row],[Dump]],$AF$2:$AG$55,2,0)&amp;"-"&amp;OB_Act[[#This Row],[Material]]</f>
        <v>#N/A</v>
      </c>
      <c r="AB125" s="126" t="str">
        <f>"JBG-"&amp;OB_Act[[#This Row],[Material]]</f>
        <v>JBG-</v>
      </c>
      <c r="BD125" s="105" t="str">
        <f>RIGHT(Type_DT_OB[[#This Row],[Nama DT]],3)</f>
        <v>981</v>
      </c>
      <c r="BE125" s="105" t="s">
        <v>501</v>
      </c>
      <c r="BF125" s="105">
        <v>11</v>
      </c>
      <c r="BG125" s="105">
        <v>10</v>
      </c>
      <c r="BH125" s="105" t="s">
        <v>467</v>
      </c>
      <c r="BI125" s="105" t="s">
        <v>431</v>
      </c>
      <c r="BK125" s="105" t="str">
        <f>RIGHT(Type_mud[[#This Row],[Nama DT]],3)</f>
        <v>981</v>
      </c>
      <c r="BL125" s="105" t="s">
        <v>501</v>
      </c>
      <c r="BM125" s="105" t="s">
        <v>656</v>
      </c>
    </row>
    <row r="126" spans="13:65">
      <c r="M126" s="105">
        <f>OB_Act[[#This Row],[Volume (BCM)]]*OB_Act[[#This Row],[Distance (Meter)]]</f>
        <v>0</v>
      </c>
      <c r="N126" s="105" t="str">
        <f>LEFT(OB_Act[[#This Row],[Dump Truck]],3)</f>
        <v/>
      </c>
      <c r="O126" s="126" t="str">
        <f>OB_Act[[#This Row],[Day]]&amp;OB_Act[[#This Row],[Excavator]]&amp;OB_Act[[#This Row],[Contractor]]&amp;OB_Act[[#This Row],[Pit]]&amp;OB_Act[[#This Row],[Shift]]</f>
        <v/>
      </c>
      <c r="P126" s="126">
        <f>1/COUNTIF(OB_Act[Dummy_Exc],OB_Act[[#This Row],[Dummy_Exc]])</f>
        <v>4.1841004184100415E-3</v>
      </c>
      <c r="Q126" s="105" t="str">
        <f>OB_Act[[#This Row],[Day]]&amp;OB_Act[[#This Row],[Dump Truck]]&amp;OB_Act[[#This Row],[Pit]]&amp;OB_Act[[#This Row],[Shift]]</f>
        <v/>
      </c>
      <c r="R126" s="126">
        <f>1/COUNTIF(OB_Act[Dummy_DT],OB_Act[[#This Row],[Dummy_DT]])</f>
        <v>4.1841004184100415E-3</v>
      </c>
      <c r="S126" s="126">
        <f>OB_Act[[#This Row],[Distance (Meter)]]*OB_Act[[#This Row],[Volume (BCM)]]</f>
        <v>0</v>
      </c>
      <c r="T126" s="105" t="str">
        <f>OB_Act[[#This Row],[Day]]&amp;OB_Act[[#This Row],[Dump Truck]]&amp;OB_Act[[#This Row],[Contractor]]&amp;OB_Act[[#This Row],[Excavator]]&amp;OB_Act[[#This Row],[Shift]]</f>
        <v/>
      </c>
      <c r="U126" s="126">
        <f>1/COUNTIF(OB_Act[Dummy_DT/Exc],OB_Act[[#This Row],[Dummy_DT/Exc]])</f>
        <v>4.1841004184100415E-3</v>
      </c>
      <c r="V126" s="126" t="e">
        <f>VLOOKUP(OB_Act[[#This Row],[Day]],$AO$2:$AR$32,4,0)</f>
        <v>#N/A</v>
      </c>
      <c r="W126" s="126" t="e">
        <f>VLOOKUP(OB_Act[[#This Row],[Dump Area]],$AE$2:$AF$51,2,0)</f>
        <v>#N/A</v>
      </c>
      <c r="X126" s="126" t="str">
        <f>OB_Act[[#This Row],[Excavator]]&amp;OB_Act[[#This Row],[Contractor]]</f>
        <v/>
      </c>
      <c r="Y126" s="126" t="e">
        <f>IF(OB_Act[[#This Row],[Material]]="MUD",VLOOKUP(OB_Act[[#This Row],[Dump Truck]],Type_mud[[Nama DT]:[Type]],2,0),VLOOKUP(OB_Act[[#This Row],[Dump Truck]],Type_DT_OB[[Nama DT]:[Type]],4,0))</f>
        <v>#N/A</v>
      </c>
      <c r="Z126" s="126" t="e">
        <f>"JBG-OP1-CENTRAL-"&amp;VLOOKUP(OB_Act[[#This Row],[Pit]],$AK$2:$AL$9,2,0)&amp;"-WASTE-"&amp;OB_Act[[#This Row],[Material]]</f>
        <v>#N/A</v>
      </c>
      <c r="AA126" s="126" t="e">
        <f>"JBG-DUMP1-"&amp;VLOOKUP(OB_Act[[#This Row],[Dump]],$AF$2:$AG$55,2,0)&amp;"-"&amp;OB_Act[[#This Row],[Material]]</f>
        <v>#N/A</v>
      </c>
      <c r="AB126" s="126" t="str">
        <f>"JBG-"&amp;OB_Act[[#This Row],[Material]]</f>
        <v>JBG-</v>
      </c>
      <c r="BD126" s="105" t="str">
        <f>RIGHT(Type_DT_OB[[#This Row],[Nama DT]],3)</f>
        <v>982</v>
      </c>
      <c r="BE126" s="105" t="s">
        <v>502</v>
      </c>
      <c r="BF126" s="105">
        <v>11</v>
      </c>
      <c r="BG126" s="105">
        <v>10</v>
      </c>
      <c r="BH126" s="105" t="s">
        <v>467</v>
      </c>
      <c r="BI126" s="105" t="s">
        <v>431</v>
      </c>
      <c r="BK126" s="105" t="str">
        <f>RIGHT(Type_mud[[#This Row],[Nama DT]],3)</f>
        <v>982</v>
      </c>
      <c r="BL126" s="105" t="s">
        <v>502</v>
      </c>
      <c r="BM126" s="105" t="s">
        <v>656</v>
      </c>
    </row>
    <row r="127" spans="13:65">
      <c r="M127" s="105">
        <f>OB_Act[[#This Row],[Volume (BCM)]]*OB_Act[[#This Row],[Distance (Meter)]]</f>
        <v>0</v>
      </c>
      <c r="N127" s="105" t="str">
        <f>LEFT(OB_Act[[#This Row],[Dump Truck]],3)</f>
        <v/>
      </c>
      <c r="O127" s="126" t="str">
        <f>OB_Act[[#This Row],[Day]]&amp;OB_Act[[#This Row],[Excavator]]&amp;OB_Act[[#This Row],[Contractor]]&amp;OB_Act[[#This Row],[Pit]]&amp;OB_Act[[#This Row],[Shift]]</f>
        <v/>
      </c>
      <c r="P127" s="126">
        <f>1/COUNTIF(OB_Act[Dummy_Exc],OB_Act[[#This Row],[Dummy_Exc]])</f>
        <v>4.1841004184100415E-3</v>
      </c>
      <c r="Q127" s="105" t="str">
        <f>OB_Act[[#This Row],[Day]]&amp;OB_Act[[#This Row],[Dump Truck]]&amp;OB_Act[[#This Row],[Pit]]&amp;OB_Act[[#This Row],[Shift]]</f>
        <v/>
      </c>
      <c r="R127" s="126">
        <f>1/COUNTIF(OB_Act[Dummy_DT],OB_Act[[#This Row],[Dummy_DT]])</f>
        <v>4.1841004184100415E-3</v>
      </c>
      <c r="S127" s="126">
        <f>OB_Act[[#This Row],[Distance (Meter)]]*OB_Act[[#This Row],[Volume (BCM)]]</f>
        <v>0</v>
      </c>
      <c r="T127" s="105" t="str">
        <f>OB_Act[[#This Row],[Day]]&amp;OB_Act[[#This Row],[Dump Truck]]&amp;OB_Act[[#This Row],[Contractor]]&amp;OB_Act[[#This Row],[Excavator]]&amp;OB_Act[[#This Row],[Shift]]</f>
        <v/>
      </c>
      <c r="U127" s="126">
        <f>1/COUNTIF(OB_Act[Dummy_DT/Exc],OB_Act[[#This Row],[Dummy_DT/Exc]])</f>
        <v>4.1841004184100415E-3</v>
      </c>
      <c r="V127" s="126" t="e">
        <f>VLOOKUP(OB_Act[[#This Row],[Day]],$AO$2:$AR$32,4,0)</f>
        <v>#N/A</v>
      </c>
      <c r="W127" s="126" t="e">
        <f>VLOOKUP(OB_Act[[#This Row],[Dump Area]],$AE$2:$AF$51,2,0)</f>
        <v>#N/A</v>
      </c>
      <c r="X127" s="126" t="str">
        <f>OB_Act[[#This Row],[Excavator]]&amp;OB_Act[[#This Row],[Contractor]]</f>
        <v/>
      </c>
      <c r="Y127" s="126" t="e">
        <f>IF(OB_Act[[#This Row],[Material]]="MUD",VLOOKUP(OB_Act[[#This Row],[Dump Truck]],Type_mud[[Nama DT]:[Type]],2,0),VLOOKUP(OB_Act[[#This Row],[Dump Truck]],Type_DT_OB[[Nama DT]:[Type]],4,0))</f>
        <v>#N/A</v>
      </c>
      <c r="Z127" s="126" t="e">
        <f>"JBG-OP1-CENTRAL-"&amp;VLOOKUP(OB_Act[[#This Row],[Pit]],$AK$2:$AL$9,2,0)&amp;"-WASTE-"&amp;OB_Act[[#This Row],[Material]]</f>
        <v>#N/A</v>
      </c>
      <c r="AA127" s="126" t="e">
        <f>"JBG-DUMP1-"&amp;VLOOKUP(OB_Act[[#This Row],[Dump]],$AF$2:$AG$55,2,0)&amp;"-"&amp;OB_Act[[#This Row],[Material]]</f>
        <v>#N/A</v>
      </c>
      <c r="AB127" s="126" t="str">
        <f>"JBG-"&amp;OB_Act[[#This Row],[Material]]</f>
        <v>JBG-</v>
      </c>
      <c r="BD127" s="105" t="str">
        <f>RIGHT(Type_DT_OB[[#This Row],[Nama DT]],3)</f>
        <v>983</v>
      </c>
      <c r="BE127" s="105" t="s">
        <v>503</v>
      </c>
      <c r="BF127" s="105">
        <v>11</v>
      </c>
      <c r="BG127" s="105">
        <v>10</v>
      </c>
      <c r="BH127" s="105" t="s">
        <v>467</v>
      </c>
      <c r="BI127" s="105" t="s">
        <v>431</v>
      </c>
      <c r="BK127" s="105" t="str">
        <f>RIGHT(Type_mud[[#This Row],[Nama DT]],3)</f>
        <v>983</v>
      </c>
      <c r="BL127" s="105" t="s">
        <v>503</v>
      </c>
      <c r="BM127" s="105" t="s">
        <v>656</v>
      </c>
    </row>
    <row r="128" spans="13:65">
      <c r="M128" s="105">
        <f>OB_Act[[#This Row],[Volume (BCM)]]*OB_Act[[#This Row],[Distance (Meter)]]</f>
        <v>0</v>
      </c>
      <c r="N128" s="105" t="str">
        <f>LEFT(OB_Act[[#This Row],[Dump Truck]],3)</f>
        <v/>
      </c>
      <c r="O128" s="126" t="str">
        <f>OB_Act[[#This Row],[Day]]&amp;OB_Act[[#This Row],[Excavator]]&amp;OB_Act[[#This Row],[Contractor]]&amp;OB_Act[[#This Row],[Pit]]&amp;OB_Act[[#This Row],[Shift]]</f>
        <v/>
      </c>
      <c r="P128" s="126">
        <f>1/COUNTIF(OB_Act[Dummy_Exc],OB_Act[[#This Row],[Dummy_Exc]])</f>
        <v>4.1841004184100415E-3</v>
      </c>
      <c r="Q128" s="105" t="str">
        <f>OB_Act[[#This Row],[Day]]&amp;OB_Act[[#This Row],[Dump Truck]]&amp;OB_Act[[#This Row],[Pit]]&amp;OB_Act[[#This Row],[Shift]]</f>
        <v/>
      </c>
      <c r="R128" s="126">
        <f>1/COUNTIF(OB_Act[Dummy_DT],OB_Act[[#This Row],[Dummy_DT]])</f>
        <v>4.1841004184100415E-3</v>
      </c>
      <c r="S128" s="126">
        <f>OB_Act[[#This Row],[Distance (Meter)]]*OB_Act[[#This Row],[Volume (BCM)]]</f>
        <v>0</v>
      </c>
      <c r="T128" s="105" t="str">
        <f>OB_Act[[#This Row],[Day]]&amp;OB_Act[[#This Row],[Dump Truck]]&amp;OB_Act[[#This Row],[Contractor]]&amp;OB_Act[[#This Row],[Excavator]]&amp;OB_Act[[#This Row],[Shift]]</f>
        <v/>
      </c>
      <c r="U128" s="126">
        <f>1/COUNTIF(OB_Act[Dummy_DT/Exc],OB_Act[[#This Row],[Dummy_DT/Exc]])</f>
        <v>4.1841004184100415E-3</v>
      </c>
      <c r="V128" s="126" t="e">
        <f>VLOOKUP(OB_Act[[#This Row],[Day]],$AO$2:$AR$32,4,0)</f>
        <v>#N/A</v>
      </c>
      <c r="W128" s="126" t="e">
        <f>VLOOKUP(OB_Act[[#This Row],[Dump Area]],$AE$2:$AF$51,2,0)</f>
        <v>#N/A</v>
      </c>
      <c r="X128" s="126" t="str">
        <f>OB_Act[[#This Row],[Excavator]]&amp;OB_Act[[#This Row],[Contractor]]</f>
        <v/>
      </c>
      <c r="Y128" s="126" t="e">
        <f>IF(OB_Act[[#This Row],[Material]]="MUD",VLOOKUP(OB_Act[[#This Row],[Dump Truck]],Type_mud[[Nama DT]:[Type]],2,0),VLOOKUP(OB_Act[[#This Row],[Dump Truck]],Type_DT_OB[[Nama DT]:[Type]],4,0))</f>
        <v>#N/A</v>
      </c>
      <c r="Z128" s="126" t="e">
        <f>"JBG-OP1-CENTRAL-"&amp;VLOOKUP(OB_Act[[#This Row],[Pit]],$AK$2:$AL$9,2,0)&amp;"-WASTE-"&amp;OB_Act[[#This Row],[Material]]</f>
        <v>#N/A</v>
      </c>
      <c r="AA128" s="126" t="e">
        <f>"JBG-DUMP1-"&amp;VLOOKUP(OB_Act[[#This Row],[Dump]],$AF$2:$AG$55,2,0)&amp;"-"&amp;OB_Act[[#This Row],[Material]]</f>
        <v>#N/A</v>
      </c>
      <c r="AB128" s="126" t="str">
        <f>"JBG-"&amp;OB_Act[[#This Row],[Material]]</f>
        <v>JBG-</v>
      </c>
      <c r="BD128" s="105" t="str">
        <f>RIGHT(Type_DT_OB[[#This Row],[Nama DT]],3)</f>
        <v>984</v>
      </c>
      <c r="BE128" s="105" t="s">
        <v>504</v>
      </c>
      <c r="BF128" s="105">
        <v>11</v>
      </c>
      <c r="BG128" s="105">
        <v>10</v>
      </c>
      <c r="BH128" s="105" t="s">
        <v>467</v>
      </c>
      <c r="BI128" s="105" t="s">
        <v>431</v>
      </c>
      <c r="BK128" s="105" t="str">
        <f>RIGHT(Type_mud[[#This Row],[Nama DT]],3)</f>
        <v>984</v>
      </c>
      <c r="BL128" s="105" t="s">
        <v>504</v>
      </c>
      <c r="BM128" s="105" t="s">
        <v>656</v>
      </c>
    </row>
    <row r="129" spans="13:65">
      <c r="M129" s="105">
        <f>OB_Act[[#This Row],[Volume (BCM)]]*OB_Act[[#This Row],[Distance (Meter)]]</f>
        <v>0</v>
      </c>
      <c r="N129" s="105" t="str">
        <f>LEFT(OB_Act[[#This Row],[Dump Truck]],3)</f>
        <v/>
      </c>
      <c r="O129" s="126" t="str">
        <f>OB_Act[[#This Row],[Day]]&amp;OB_Act[[#This Row],[Excavator]]&amp;OB_Act[[#This Row],[Contractor]]&amp;OB_Act[[#This Row],[Pit]]&amp;OB_Act[[#This Row],[Shift]]</f>
        <v/>
      </c>
      <c r="P129" s="126">
        <f>1/COUNTIF(OB_Act[Dummy_Exc],OB_Act[[#This Row],[Dummy_Exc]])</f>
        <v>4.1841004184100415E-3</v>
      </c>
      <c r="Q129" s="105" t="str">
        <f>OB_Act[[#This Row],[Day]]&amp;OB_Act[[#This Row],[Dump Truck]]&amp;OB_Act[[#This Row],[Pit]]&amp;OB_Act[[#This Row],[Shift]]</f>
        <v/>
      </c>
      <c r="R129" s="126">
        <f>1/COUNTIF(OB_Act[Dummy_DT],OB_Act[[#This Row],[Dummy_DT]])</f>
        <v>4.1841004184100415E-3</v>
      </c>
      <c r="S129" s="126">
        <f>OB_Act[[#This Row],[Distance (Meter)]]*OB_Act[[#This Row],[Volume (BCM)]]</f>
        <v>0</v>
      </c>
      <c r="T129" s="105" t="str">
        <f>OB_Act[[#This Row],[Day]]&amp;OB_Act[[#This Row],[Dump Truck]]&amp;OB_Act[[#This Row],[Contractor]]&amp;OB_Act[[#This Row],[Excavator]]&amp;OB_Act[[#This Row],[Shift]]</f>
        <v/>
      </c>
      <c r="U129" s="126">
        <f>1/COUNTIF(OB_Act[Dummy_DT/Exc],OB_Act[[#This Row],[Dummy_DT/Exc]])</f>
        <v>4.1841004184100415E-3</v>
      </c>
      <c r="V129" s="126" t="e">
        <f>VLOOKUP(OB_Act[[#This Row],[Day]],$AO$2:$AR$32,4,0)</f>
        <v>#N/A</v>
      </c>
      <c r="W129" s="126" t="e">
        <f>VLOOKUP(OB_Act[[#This Row],[Dump Area]],$AE$2:$AF$51,2,0)</f>
        <v>#N/A</v>
      </c>
      <c r="X129" s="126" t="str">
        <f>OB_Act[[#This Row],[Excavator]]&amp;OB_Act[[#This Row],[Contractor]]</f>
        <v/>
      </c>
      <c r="Y129" s="126" t="e">
        <f>IF(OB_Act[[#This Row],[Material]]="MUD",VLOOKUP(OB_Act[[#This Row],[Dump Truck]],Type_mud[[Nama DT]:[Type]],2,0),VLOOKUP(OB_Act[[#This Row],[Dump Truck]],Type_DT_OB[[Nama DT]:[Type]],4,0))</f>
        <v>#N/A</v>
      </c>
      <c r="Z129" s="126" t="e">
        <f>"JBG-OP1-CENTRAL-"&amp;VLOOKUP(OB_Act[[#This Row],[Pit]],$AK$2:$AL$9,2,0)&amp;"-WASTE-"&amp;OB_Act[[#This Row],[Material]]</f>
        <v>#N/A</v>
      </c>
      <c r="AA129" s="126" t="e">
        <f>"JBG-DUMP1-"&amp;VLOOKUP(OB_Act[[#This Row],[Dump]],$AF$2:$AG$55,2,0)&amp;"-"&amp;OB_Act[[#This Row],[Material]]</f>
        <v>#N/A</v>
      </c>
      <c r="AB129" s="126" t="str">
        <f>"JBG-"&amp;OB_Act[[#This Row],[Material]]</f>
        <v>JBG-</v>
      </c>
      <c r="BD129" s="105" t="str">
        <f>RIGHT(Type_DT_OB[[#This Row],[Nama DT]],3)</f>
        <v>985</v>
      </c>
      <c r="BE129" s="105" t="s">
        <v>505</v>
      </c>
      <c r="BF129" s="105">
        <v>11</v>
      </c>
      <c r="BG129" s="105">
        <v>10</v>
      </c>
      <c r="BH129" s="105" t="s">
        <v>467</v>
      </c>
      <c r="BI129" s="105" t="s">
        <v>431</v>
      </c>
      <c r="BK129" s="105" t="str">
        <f>RIGHT(Type_mud[[#This Row],[Nama DT]],3)</f>
        <v>985</v>
      </c>
      <c r="BL129" s="105" t="s">
        <v>505</v>
      </c>
      <c r="BM129" s="105" t="s">
        <v>656</v>
      </c>
    </row>
    <row r="130" spans="13:65">
      <c r="M130" s="105">
        <f>OB_Act[[#This Row],[Volume (BCM)]]*OB_Act[[#This Row],[Distance (Meter)]]</f>
        <v>0</v>
      </c>
      <c r="N130" s="105" t="str">
        <f>LEFT(OB_Act[[#This Row],[Dump Truck]],3)</f>
        <v/>
      </c>
      <c r="O130" s="126" t="str">
        <f>OB_Act[[#This Row],[Day]]&amp;OB_Act[[#This Row],[Excavator]]&amp;OB_Act[[#This Row],[Contractor]]&amp;OB_Act[[#This Row],[Pit]]&amp;OB_Act[[#This Row],[Shift]]</f>
        <v/>
      </c>
      <c r="P130" s="126">
        <f>1/COUNTIF(OB_Act[Dummy_Exc],OB_Act[[#This Row],[Dummy_Exc]])</f>
        <v>4.1841004184100415E-3</v>
      </c>
      <c r="Q130" s="105" t="str">
        <f>OB_Act[[#This Row],[Day]]&amp;OB_Act[[#This Row],[Dump Truck]]&amp;OB_Act[[#This Row],[Pit]]&amp;OB_Act[[#This Row],[Shift]]</f>
        <v/>
      </c>
      <c r="R130" s="126">
        <f>1/COUNTIF(OB_Act[Dummy_DT],OB_Act[[#This Row],[Dummy_DT]])</f>
        <v>4.1841004184100415E-3</v>
      </c>
      <c r="S130" s="126">
        <f>OB_Act[[#This Row],[Distance (Meter)]]*OB_Act[[#This Row],[Volume (BCM)]]</f>
        <v>0</v>
      </c>
      <c r="T130" s="105" t="str">
        <f>OB_Act[[#This Row],[Day]]&amp;OB_Act[[#This Row],[Dump Truck]]&amp;OB_Act[[#This Row],[Contractor]]&amp;OB_Act[[#This Row],[Excavator]]&amp;OB_Act[[#This Row],[Shift]]</f>
        <v/>
      </c>
      <c r="U130" s="126">
        <f>1/COUNTIF(OB_Act[Dummy_DT/Exc],OB_Act[[#This Row],[Dummy_DT/Exc]])</f>
        <v>4.1841004184100415E-3</v>
      </c>
      <c r="V130" s="126" t="e">
        <f>VLOOKUP(OB_Act[[#This Row],[Day]],$AO$2:$AR$32,4,0)</f>
        <v>#N/A</v>
      </c>
      <c r="W130" s="126" t="e">
        <f>VLOOKUP(OB_Act[[#This Row],[Dump Area]],$AE$2:$AF$51,2,0)</f>
        <v>#N/A</v>
      </c>
      <c r="X130" s="126" t="str">
        <f>OB_Act[[#This Row],[Excavator]]&amp;OB_Act[[#This Row],[Contractor]]</f>
        <v/>
      </c>
      <c r="Y130" s="126" t="e">
        <f>IF(OB_Act[[#This Row],[Material]]="MUD",VLOOKUP(OB_Act[[#This Row],[Dump Truck]],Type_mud[[Nama DT]:[Type]],2,0),VLOOKUP(OB_Act[[#This Row],[Dump Truck]],Type_DT_OB[[Nama DT]:[Type]],4,0))</f>
        <v>#N/A</v>
      </c>
      <c r="Z130" s="126" t="e">
        <f>"JBG-OP1-CENTRAL-"&amp;VLOOKUP(OB_Act[[#This Row],[Pit]],$AK$2:$AL$9,2,0)&amp;"-WASTE-"&amp;OB_Act[[#This Row],[Material]]</f>
        <v>#N/A</v>
      </c>
      <c r="AA130" s="126" t="e">
        <f>"JBG-DUMP1-"&amp;VLOOKUP(OB_Act[[#This Row],[Dump]],$AF$2:$AG$55,2,0)&amp;"-"&amp;OB_Act[[#This Row],[Material]]</f>
        <v>#N/A</v>
      </c>
      <c r="AB130" s="126" t="str">
        <f>"JBG-"&amp;OB_Act[[#This Row],[Material]]</f>
        <v>JBG-</v>
      </c>
      <c r="BD130" s="105" t="str">
        <f>RIGHT(Type_DT_OB[[#This Row],[Nama DT]],3)</f>
        <v>986</v>
      </c>
      <c r="BE130" s="105" t="s">
        <v>506</v>
      </c>
      <c r="BF130" s="105">
        <v>11</v>
      </c>
      <c r="BG130" s="105">
        <v>10</v>
      </c>
      <c r="BH130" s="105" t="s">
        <v>467</v>
      </c>
      <c r="BI130" s="105" t="s">
        <v>431</v>
      </c>
      <c r="BK130" s="105" t="str">
        <f>RIGHT(Type_mud[[#This Row],[Nama DT]],3)</f>
        <v>986</v>
      </c>
      <c r="BL130" s="105" t="s">
        <v>506</v>
      </c>
      <c r="BM130" s="105" t="s">
        <v>656</v>
      </c>
    </row>
    <row r="131" spans="13:65">
      <c r="M131" s="105">
        <f>OB_Act[[#This Row],[Volume (BCM)]]*OB_Act[[#This Row],[Distance (Meter)]]</f>
        <v>0</v>
      </c>
      <c r="N131" s="105" t="str">
        <f>LEFT(OB_Act[[#This Row],[Dump Truck]],3)</f>
        <v/>
      </c>
      <c r="O131" s="126" t="str">
        <f>OB_Act[[#This Row],[Day]]&amp;OB_Act[[#This Row],[Excavator]]&amp;OB_Act[[#This Row],[Contractor]]&amp;OB_Act[[#This Row],[Pit]]&amp;OB_Act[[#This Row],[Shift]]</f>
        <v/>
      </c>
      <c r="P131" s="126">
        <f>1/COUNTIF(OB_Act[Dummy_Exc],OB_Act[[#This Row],[Dummy_Exc]])</f>
        <v>4.1841004184100415E-3</v>
      </c>
      <c r="Q131" s="105" t="str">
        <f>OB_Act[[#This Row],[Day]]&amp;OB_Act[[#This Row],[Dump Truck]]&amp;OB_Act[[#This Row],[Pit]]&amp;OB_Act[[#This Row],[Shift]]</f>
        <v/>
      </c>
      <c r="R131" s="126">
        <f>1/COUNTIF(OB_Act[Dummy_DT],OB_Act[[#This Row],[Dummy_DT]])</f>
        <v>4.1841004184100415E-3</v>
      </c>
      <c r="S131" s="126">
        <f>OB_Act[[#This Row],[Distance (Meter)]]*OB_Act[[#This Row],[Volume (BCM)]]</f>
        <v>0</v>
      </c>
      <c r="T131" s="105" t="str">
        <f>OB_Act[[#This Row],[Day]]&amp;OB_Act[[#This Row],[Dump Truck]]&amp;OB_Act[[#This Row],[Contractor]]&amp;OB_Act[[#This Row],[Excavator]]&amp;OB_Act[[#This Row],[Shift]]</f>
        <v/>
      </c>
      <c r="U131" s="126">
        <f>1/COUNTIF(OB_Act[Dummy_DT/Exc],OB_Act[[#This Row],[Dummy_DT/Exc]])</f>
        <v>4.1841004184100415E-3</v>
      </c>
      <c r="V131" s="126" t="e">
        <f>VLOOKUP(OB_Act[[#This Row],[Day]],$AO$2:$AR$32,4,0)</f>
        <v>#N/A</v>
      </c>
      <c r="W131" s="126" t="e">
        <f>VLOOKUP(OB_Act[[#This Row],[Dump Area]],$AE$2:$AF$51,2,0)</f>
        <v>#N/A</v>
      </c>
      <c r="X131" s="126" t="str">
        <f>OB_Act[[#This Row],[Excavator]]&amp;OB_Act[[#This Row],[Contractor]]</f>
        <v/>
      </c>
      <c r="Y131" s="126" t="e">
        <f>IF(OB_Act[[#This Row],[Material]]="MUD",VLOOKUP(OB_Act[[#This Row],[Dump Truck]],Type_mud[[Nama DT]:[Type]],2,0),VLOOKUP(OB_Act[[#This Row],[Dump Truck]],Type_DT_OB[[Nama DT]:[Type]],4,0))</f>
        <v>#N/A</v>
      </c>
      <c r="Z131" s="126" t="e">
        <f>"JBG-OP1-CENTRAL-"&amp;VLOOKUP(OB_Act[[#This Row],[Pit]],$AK$2:$AL$9,2,0)&amp;"-WASTE-"&amp;OB_Act[[#This Row],[Material]]</f>
        <v>#N/A</v>
      </c>
      <c r="AA131" s="126" t="e">
        <f>"JBG-DUMP1-"&amp;VLOOKUP(OB_Act[[#This Row],[Dump]],$AF$2:$AG$55,2,0)&amp;"-"&amp;OB_Act[[#This Row],[Material]]</f>
        <v>#N/A</v>
      </c>
      <c r="AB131" s="126" t="str">
        <f>"JBG-"&amp;OB_Act[[#This Row],[Material]]</f>
        <v>JBG-</v>
      </c>
      <c r="BD131" s="105" t="str">
        <f>RIGHT(Type_DT_OB[[#This Row],[Nama DT]],4)</f>
        <v>1001</v>
      </c>
      <c r="BE131" s="105" t="s">
        <v>507</v>
      </c>
      <c r="BF131" s="105">
        <v>15</v>
      </c>
      <c r="BG131" s="105">
        <v>14</v>
      </c>
      <c r="BH131" s="105" t="s">
        <v>508</v>
      </c>
      <c r="BI131" s="105" t="s">
        <v>438</v>
      </c>
      <c r="BK131" s="105" t="str">
        <f>RIGHT(Type_mud[[#This Row],[Nama DT]],4)</f>
        <v>1001</v>
      </c>
      <c r="BL131" s="105" t="s">
        <v>507</v>
      </c>
      <c r="BM131" s="105" t="s">
        <v>657</v>
      </c>
    </row>
    <row r="132" spans="13:65">
      <c r="M132" s="105">
        <f>OB_Act[[#This Row],[Volume (BCM)]]*OB_Act[[#This Row],[Distance (Meter)]]</f>
        <v>0</v>
      </c>
      <c r="N132" s="105" t="str">
        <f>LEFT(OB_Act[[#This Row],[Dump Truck]],3)</f>
        <v/>
      </c>
      <c r="O132" s="126" t="str">
        <f>OB_Act[[#This Row],[Day]]&amp;OB_Act[[#This Row],[Excavator]]&amp;OB_Act[[#This Row],[Contractor]]&amp;OB_Act[[#This Row],[Pit]]&amp;OB_Act[[#This Row],[Shift]]</f>
        <v/>
      </c>
      <c r="P132" s="126">
        <f>1/COUNTIF(OB_Act[Dummy_Exc],OB_Act[[#This Row],[Dummy_Exc]])</f>
        <v>4.1841004184100415E-3</v>
      </c>
      <c r="Q132" s="105" t="str">
        <f>OB_Act[[#This Row],[Day]]&amp;OB_Act[[#This Row],[Dump Truck]]&amp;OB_Act[[#This Row],[Pit]]&amp;OB_Act[[#This Row],[Shift]]</f>
        <v/>
      </c>
      <c r="R132" s="126">
        <f>1/COUNTIF(OB_Act[Dummy_DT],OB_Act[[#This Row],[Dummy_DT]])</f>
        <v>4.1841004184100415E-3</v>
      </c>
      <c r="S132" s="126">
        <f>OB_Act[[#This Row],[Distance (Meter)]]*OB_Act[[#This Row],[Volume (BCM)]]</f>
        <v>0</v>
      </c>
      <c r="T132" s="105" t="str">
        <f>OB_Act[[#This Row],[Day]]&amp;OB_Act[[#This Row],[Dump Truck]]&amp;OB_Act[[#This Row],[Contractor]]&amp;OB_Act[[#This Row],[Excavator]]&amp;OB_Act[[#This Row],[Shift]]</f>
        <v/>
      </c>
      <c r="U132" s="126">
        <f>1/COUNTIF(OB_Act[Dummy_DT/Exc],OB_Act[[#This Row],[Dummy_DT/Exc]])</f>
        <v>4.1841004184100415E-3</v>
      </c>
      <c r="V132" s="126" t="e">
        <f>VLOOKUP(OB_Act[[#This Row],[Day]],$AO$2:$AR$32,4,0)</f>
        <v>#N/A</v>
      </c>
      <c r="W132" s="126" t="e">
        <f>VLOOKUP(OB_Act[[#This Row],[Dump Area]],$AE$2:$AF$51,2,0)</f>
        <v>#N/A</v>
      </c>
      <c r="X132" s="126" t="str">
        <f>OB_Act[[#This Row],[Excavator]]&amp;OB_Act[[#This Row],[Contractor]]</f>
        <v/>
      </c>
      <c r="Y132" s="126" t="e">
        <f>IF(OB_Act[[#This Row],[Material]]="MUD",VLOOKUP(OB_Act[[#This Row],[Dump Truck]],Type_mud[[Nama DT]:[Type]],2,0),VLOOKUP(OB_Act[[#This Row],[Dump Truck]],Type_DT_OB[[Nama DT]:[Type]],4,0))</f>
        <v>#N/A</v>
      </c>
      <c r="Z132" s="126" t="e">
        <f>"JBG-OP1-CENTRAL-"&amp;VLOOKUP(OB_Act[[#This Row],[Pit]],$AK$2:$AL$9,2,0)&amp;"-WASTE-"&amp;OB_Act[[#This Row],[Material]]</f>
        <v>#N/A</v>
      </c>
      <c r="AA132" s="126" t="e">
        <f>"JBG-DUMP1-"&amp;VLOOKUP(OB_Act[[#This Row],[Dump]],$AF$2:$AG$55,2,0)&amp;"-"&amp;OB_Act[[#This Row],[Material]]</f>
        <v>#N/A</v>
      </c>
      <c r="AB132" s="126" t="str">
        <f>"JBG-"&amp;OB_Act[[#This Row],[Material]]</f>
        <v>JBG-</v>
      </c>
      <c r="BD132" s="105" t="str">
        <f>RIGHT(Type_DT_OB[[#This Row],[Nama DT]],4)</f>
        <v>1002</v>
      </c>
      <c r="BE132" s="105" t="s">
        <v>509</v>
      </c>
      <c r="BF132" s="105">
        <v>15</v>
      </c>
      <c r="BG132" s="105">
        <v>14</v>
      </c>
      <c r="BH132" s="105" t="s">
        <v>508</v>
      </c>
      <c r="BI132" s="105" t="s">
        <v>438</v>
      </c>
      <c r="BK132" s="105" t="str">
        <f>RIGHT(Type_mud[[#This Row],[Nama DT]],4)</f>
        <v>1002</v>
      </c>
      <c r="BL132" s="105" t="s">
        <v>509</v>
      </c>
      <c r="BM132" s="105" t="s">
        <v>657</v>
      </c>
    </row>
    <row r="133" spans="13:65">
      <c r="M133" s="105">
        <f>OB_Act[[#This Row],[Volume (BCM)]]*OB_Act[[#This Row],[Distance (Meter)]]</f>
        <v>0</v>
      </c>
      <c r="N133" s="105" t="str">
        <f>LEFT(OB_Act[[#This Row],[Dump Truck]],3)</f>
        <v/>
      </c>
      <c r="O133" s="126" t="str">
        <f>OB_Act[[#This Row],[Day]]&amp;OB_Act[[#This Row],[Excavator]]&amp;OB_Act[[#This Row],[Contractor]]&amp;OB_Act[[#This Row],[Pit]]&amp;OB_Act[[#This Row],[Shift]]</f>
        <v/>
      </c>
      <c r="P133" s="126">
        <f>1/COUNTIF(OB_Act[Dummy_Exc],OB_Act[[#This Row],[Dummy_Exc]])</f>
        <v>4.1841004184100415E-3</v>
      </c>
      <c r="Q133" s="105" t="str">
        <f>OB_Act[[#This Row],[Day]]&amp;OB_Act[[#This Row],[Dump Truck]]&amp;OB_Act[[#This Row],[Pit]]&amp;OB_Act[[#This Row],[Shift]]</f>
        <v/>
      </c>
      <c r="R133" s="126">
        <f>1/COUNTIF(OB_Act[Dummy_DT],OB_Act[[#This Row],[Dummy_DT]])</f>
        <v>4.1841004184100415E-3</v>
      </c>
      <c r="S133" s="126">
        <f>OB_Act[[#This Row],[Distance (Meter)]]*OB_Act[[#This Row],[Volume (BCM)]]</f>
        <v>0</v>
      </c>
      <c r="T133" s="105" t="str">
        <f>OB_Act[[#This Row],[Day]]&amp;OB_Act[[#This Row],[Dump Truck]]&amp;OB_Act[[#This Row],[Contractor]]&amp;OB_Act[[#This Row],[Excavator]]&amp;OB_Act[[#This Row],[Shift]]</f>
        <v/>
      </c>
      <c r="U133" s="126">
        <f>1/COUNTIF(OB_Act[Dummy_DT/Exc],OB_Act[[#This Row],[Dummy_DT/Exc]])</f>
        <v>4.1841004184100415E-3</v>
      </c>
      <c r="V133" s="126" t="e">
        <f>VLOOKUP(OB_Act[[#This Row],[Day]],$AO$2:$AR$32,4,0)</f>
        <v>#N/A</v>
      </c>
      <c r="W133" s="126" t="e">
        <f>VLOOKUP(OB_Act[[#This Row],[Dump Area]],$AE$2:$AF$51,2,0)</f>
        <v>#N/A</v>
      </c>
      <c r="X133" s="126" t="str">
        <f>OB_Act[[#This Row],[Excavator]]&amp;OB_Act[[#This Row],[Contractor]]</f>
        <v/>
      </c>
      <c r="Y133" s="126" t="e">
        <f>IF(OB_Act[[#This Row],[Material]]="MUD",VLOOKUP(OB_Act[[#This Row],[Dump Truck]],Type_mud[[Nama DT]:[Type]],2,0),VLOOKUP(OB_Act[[#This Row],[Dump Truck]],Type_DT_OB[[Nama DT]:[Type]],4,0))</f>
        <v>#N/A</v>
      </c>
      <c r="Z133" s="126" t="e">
        <f>"JBG-OP1-CENTRAL-"&amp;VLOOKUP(OB_Act[[#This Row],[Pit]],$AK$2:$AL$9,2,0)&amp;"-WASTE-"&amp;OB_Act[[#This Row],[Material]]</f>
        <v>#N/A</v>
      </c>
      <c r="AA133" s="126" t="e">
        <f>"JBG-DUMP1-"&amp;VLOOKUP(OB_Act[[#This Row],[Dump]],$AF$2:$AG$55,2,0)&amp;"-"&amp;OB_Act[[#This Row],[Material]]</f>
        <v>#N/A</v>
      </c>
      <c r="AB133" s="126" t="str">
        <f>"JBG-"&amp;OB_Act[[#This Row],[Material]]</f>
        <v>JBG-</v>
      </c>
      <c r="BD133" s="105" t="str">
        <f>RIGHT(Type_DT_OB[[#This Row],[Nama DT]],4)</f>
        <v>1003</v>
      </c>
      <c r="BE133" s="105" t="s">
        <v>510</v>
      </c>
      <c r="BF133" s="105">
        <v>15</v>
      </c>
      <c r="BG133" s="105">
        <v>14</v>
      </c>
      <c r="BH133" s="105" t="s">
        <v>508</v>
      </c>
      <c r="BI133" s="105" t="s">
        <v>438</v>
      </c>
      <c r="BK133" s="105" t="str">
        <f>RIGHT(Type_mud[[#This Row],[Nama DT]],4)</f>
        <v>1003</v>
      </c>
      <c r="BL133" s="105" t="s">
        <v>510</v>
      </c>
      <c r="BM133" s="105" t="s">
        <v>657</v>
      </c>
    </row>
    <row r="134" spans="13:65">
      <c r="M134" s="105">
        <f>OB_Act[[#This Row],[Volume (BCM)]]*OB_Act[[#This Row],[Distance (Meter)]]</f>
        <v>0</v>
      </c>
      <c r="N134" s="105" t="str">
        <f>LEFT(OB_Act[[#This Row],[Dump Truck]],3)</f>
        <v/>
      </c>
      <c r="O134" s="126" t="str">
        <f>OB_Act[[#This Row],[Day]]&amp;OB_Act[[#This Row],[Excavator]]&amp;OB_Act[[#This Row],[Contractor]]&amp;OB_Act[[#This Row],[Pit]]&amp;OB_Act[[#This Row],[Shift]]</f>
        <v/>
      </c>
      <c r="P134" s="126">
        <f>1/COUNTIF(OB_Act[Dummy_Exc],OB_Act[[#This Row],[Dummy_Exc]])</f>
        <v>4.1841004184100415E-3</v>
      </c>
      <c r="Q134" s="105" t="str">
        <f>OB_Act[[#This Row],[Day]]&amp;OB_Act[[#This Row],[Dump Truck]]&amp;OB_Act[[#This Row],[Pit]]&amp;OB_Act[[#This Row],[Shift]]</f>
        <v/>
      </c>
      <c r="R134" s="126">
        <f>1/COUNTIF(OB_Act[Dummy_DT],OB_Act[[#This Row],[Dummy_DT]])</f>
        <v>4.1841004184100415E-3</v>
      </c>
      <c r="S134" s="126">
        <f>OB_Act[[#This Row],[Distance (Meter)]]*OB_Act[[#This Row],[Volume (BCM)]]</f>
        <v>0</v>
      </c>
      <c r="T134" s="105" t="str">
        <f>OB_Act[[#This Row],[Day]]&amp;OB_Act[[#This Row],[Dump Truck]]&amp;OB_Act[[#This Row],[Contractor]]&amp;OB_Act[[#This Row],[Excavator]]&amp;OB_Act[[#This Row],[Shift]]</f>
        <v/>
      </c>
      <c r="U134" s="126">
        <f>1/COUNTIF(OB_Act[Dummy_DT/Exc],OB_Act[[#This Row],[Dummy_DT/Exc]])</f>
        <v>4.1841004184100415E-3</v>
      </c>
      <c r="V134" s="126" t="e">
        <f>VLOOKUP(OB_Act[[#This Row],[Day]],$AO$2:$AR$32,4,0)</f>
        <v>#N/A</v>
      </c>
      <c r="W134" s="126" t="e">
        <f>VLOOKUP(OB_Act[[#This Row],[Dump Area]],$AE$2:$AF$51,2,0)</f>
        <v>#N/A</v>
      </c>
      <c r="X134" s="126" t="str">
        <f>OB_Act[[#This Row],[Excavator]]&amp;OB_Act[[#This Row],[Contractor]]</f>
        <v/>
      </c>
      <c r="Y134" s="126" t="e">
        <f>IF(OB_Act[[#This Row],[Material]]="MUD",VLOOKUP(OB_Act[[#This Row],[Dump Truck]],Type_mud[[Nama DT]:[Type]],2,0),VLOOKUP(OB_Act[[#This Row],[Dump Truck]],Type_DT_OB[[Nama DT]:[Type]],4,0))</f>
        <v>#N/A</v>
      </c>
      <c r="Z134" s="126" t="e">
        <f>"JBG-OP1-CENTRAL-"&amp;VLOOKUP(OB_Act[[#This Row],[Pit]],$AK$2:$AL$9,2,0)&amp;"-WASTE-"&amp;OB_Act[[#This Row],[Material]]</f>
        <v>#N/A</v>
      </c>
      <c r="AA134" s="126" t="e">
        <f>"JBG-DUMP1-"&amp;VLOOKUP(OB_Act[[#This Row],[Dump]],$AF$2:$AG$55,2,0)&amp;"-"&amp;OB_Act[[#This Row],[Material]]</f>
        <v>#N/A</v>
      </c>
      <c r="AB134" s="126" t="str">
        <f>"JBG-"&amp;OB_Act[[#This Row],[Material]]</f>
        <v>JBG-</v>
      </c>
      <c r="BD134" s="105" t="str">
        <f>RIGHT(Type_DT_OB[[#This Row],[Nama DT]],4)</f>
        <v>1004</v>
      </c>
      <c r="BE134" s="105" t="s">
        <v>511</v>
      </c>
      <c r="BF134" s="105">
        <v>15</v>
      </c>
      <c r="BG134" s="105">
        <v>14</v>
      </c>
      <c r="BH134" s="105" t="s">
        <v>508</v>
      </c>
      <c r="BI134" s="105" t="s">
        <v>438</v>
      </c>
      <c r="BK134" s="105" t="str">
        <f>RIGHT(Type_mud[[#This Row],[Nama DT]],4)</f>
        <v>1004</v>
      </c>
      <c r="BL134" s="105" t="s">
        <v>511</v>
      </c>
      <c r="BM134" s="105" t="s">
        <v>657</v>
      </c>
    </row>
    <row r="135" spans="13:65">
      <c r="M135" s="105">
        <f>OB_Act[[#This Row],[Volume (BCM)]]*OB_Act[[#This Row],[Distance (Meter)]]</f>
        <v>0</v>
      </c>
      <c r="N135" s="105" t="str">
        <f>LEFT(OB_Act[[#This Row],[Dump Truck]],3)</f>
        <v/>
      </c>
      <c r="O135" s="126" t="str">
        <f>OB_Act[[#This Row],[Day]]&amp;OB_Act[[#This Row],[Excavator]]&amp;OB_Act[[#This Row],[Contractor]]&amp;OB_Act[[#This Row],[Pit]]&amp;OB_Act[[#This Row],[Shift]]</f>
        <v/>
      </c>
      <c r="P135" s="126">
        <f>1/COUNTIF(OB_Act[Dummy_Exc],OB_Act[[#This Row],[Dummy_Exc]])</f>
        <v>4.1841004184100415E-3</v>
      </c>
      <c r="Q135" s="105" t="str">
        <f>OB_Act[[#This Row],[Day]]&amp;OB_Act[[#This Row],[Dump Truck]]&amp;OB_Act[[#This Row],[Pit]]&amp;OB_Act[[#This Row],[Shift]]</f>
        <v/>
      </c>
      <c r="R135" s="126">
        <f>1/COUNTIF(OB_Act[Dummy_DT],OB_Act[[#This Row],[Dummy_DT]])</f>
        <v>4.1841004184100415E-3</v>
      </c>
      <c r="S135" s="126">
        <f>OB_Act[[#This Row],[Distance (Meter)]]*OB_Act[[#This Row],[Volume (BCM)]]</f>
        <v>0</v>
      </c>
      <c r="T135" s="105" t="str">
        <f>OB_Act[[#This Row],[Day]]&amp;OB_Act[[#This Row],[Dump Truck]]&amp;OB_Act[[#This Row],[Contractor]]&amp;OB_Act[[#This Row],[Excavator]]&amp;OB_Act[[#This Row],[Shift]]</f>
        <v/>
      </c>
      <c r="U135" s="126">
        <f>1/COUNTIF(OB_Act[Dummy_DT/Exc],OB_Act[[#This Row],[Dummy_DT/Exc]])</f>
        <v>4.1841004184100415E-3</v>
      </c>
      <c r="V135" s="126" t="e">
        <f>VLOOKUP(OB_Act[[#This Row],[Day]],$AO$2:$AR$32,4,0)</f>
        <v>#N/A</v>
      </c>
      <c r="W135" s="126" t="e">
        <f>VLOOKUP(OB_Act[[#This Row],[Dump Area]],$AE$2:$AF$51,2,0)</f>
        <v>#N/A</v>
      </c>
      <c r="X135" s="126" t="str">
        <f>OB_Act[[#This Row],[Excavator]]&amp;OB_Act[[#This Row],[Contractor]]</f>
        <v/>
      </c>
      <c r="Y135" s="126" t="e">
        <f>IF(OB_Act[[#This Row],[Material]]="MUD",VLOOKUP(OB_Act[[#This Row],[Dump Truck]],Type_mud[[Nama DT]:[Type]],2,0),VLOOKUP(OB_Act[[#This Row],[Dump Truck]],Type_DT_OB[[Nama DT]:[Type]],4,0))</f>
        <v>#N/A</v>
      </c>
      <c r="Z135" s="126" t="e">
        <f>"JBG-OP1-CENTRAL-"&amp;VLOOKUP(OB_Act[[#This Row],[Pit]],$AK$2:$AL$9,2,0)&amp;"-WASTE-"&amp;OB_Act[[#This Row],[Material]]</f>
        <v>#N/A</v>
      </c>
      <c r="AA135" s="126" t="e">
        <f>"JBG-DUMP1-"&amp;VLOOKUP(OB_Act[[#This Row],[Dump]],$AF$2:$AG$55,2,0)&amp;"-"&amp;OB_Act[[#This Row],[Material]]</f>
        <v>#N/A</v>
      </c>
      <c r="AB135" s="126" t="str">
        <f>"JBG-"&amp;OB_Act[[#This Row],[Material]]</f>
        <v>JBG-</v>
      </c>
      <c r="BD135" s="105" t="str">
        <f>RIGHT(Type_DT_OB[[#This Row],[Nama DT]],4)</f>
        <v>1005</v>
      </c>
      <c r="BE135" s="105" t="s">
        <v>512</v>
      </c>
      <c r="BF135" s="105">
        <v>15</v>
      </c>
      <c r="BG135" s="105">
        <v>14</v>
      </c>
      <c r="BH135" s="105" t="s">
        <v>508</v>
      </c>
      <c r="BI135" s="105" t="s">
        <v>438</v>
      </c>
      <c r="BK135" s="105" t="str">
        <f>RIGHT(Type_mud[[#This Row],[Nama DT]],4)</f>
        <v>1005</v>
      </c>
      <c r="BL135" s="105" t="s">
        <v>512</v>
      </c>
      <c r="BM135" s="105" t="s">
        <v>657</v>
      </c>
    </row>
    <row r="136" spans="13:65">
      <c r="M136" s="105">
        <f>OB_Act[[#This Row],[Volume (BCM)]]*OB_Act[[#This Row],[Distance (Meter)]]</f>
        <v>0</v>
      </c>
      <c r="N136" s="105" t="str">
        <f>LEFT(OB_Act[[#This Row],[Dump Truck]],3)</f>
        <v/>
      </c>
      <c r="O136" s="126" t="str">
        <f>OB_Act[[#This Row],[Day]]&amp;OB_Act[[#This Row],[Excavator]]&amp;OB_Act[[#This Row],[Contractor]]&amp;OB_Act[[#This Row],[Pit]]&amp;OB_Act[[#This Row],[Shift]]</f>
        <v/>
      </c>
      <c r="P136" s="126">
        <f>1/COUNTIF(OB_Act[Dummy_Exc],OB_Act[[#This Row],[Dummy_Exc]])</f>
        <v>4.1841004184100415E-3</v>
      </c>
      <c r="Q136" s="105" t="str">
        <f>OB_Act[[#This Row],[Day]]&amp;OB_Act[[#This Row],[Dump Truck]]&amp;OB_Act[[#This Row],[Pit]]&amp;OB_Act[[#This Row],[Shift]]</f>
        <v/>
      </c>
      <c r="R136" s="126">
        <f>1/COUNTIF(OB_Act[Dummy_DT],OB_Act[[#This Row],[Dummy_DT]])</f>
        <v>4.1841004184100415E-3</v>
      </c>
      <c r="S136" s="126">
        <f>OB_Act[[#This Row],[Distance (Meter)]]*OB_Act[[#This Row],[Volume (BCM)]]</f>
        <v>0</v>
      </c>
      <c r="T136" s="105" t="str">
        <f>OB_Act[[#This Row],[Day]]&amp;OB_Act[[#This Row],[Dump Truck]]&amp;OB_Act[[#This Row],[Contractor]]&amp;OB_Act[[#This Row],[Excavator]]&amp;OB_Act[[#This Row],[Shift]]</f>
        <v/>
      </c>
      <c r="U136" s="126">
        <f>1/COUNTIF(OB_Act[Dummy_DT/Exc],OB_Act[[#This Row],[Dummy_DT/Exc]])</f>
        <v>4.1841004184100415E-3</v>
      </c>
      <c r="V136" s="126" t="e">
        <f>VLOOKUP(OB_Act[[#This Row],[Day]],$AO$2:$AR$32,4,0)</f>
        <v>#N/A</v>
      </c>
      <c r="W136" s="126" t="e">
        <f>VLOOKUP(OB_Act[[#This Row],[Dump Area]],$AE$2:$AF$51,2,0)</f>
        <v>#N/A</v>
      </c>
      <c r="X136" s="126" t="str">
        <f>OB_Act[[#This Row],[Excavator]]&amp;OB_Act[[#This Row],[Contractor]]</f>
        <v/>
      </c>
      <c r="Y136" s="126" t="e">
        <f>IF(OB_Act[[#This Row],[Material]]="MUD",VLOOKUP(OB_Act[[#This Row],[Dump Truck]],Type_mud[[Nama DT]:[Type]],2,0),VLOOKUP(OB_Act[[#This Row],[Dump Truck]],Type_DT_OB[[Nama DT]:[Type]],4,0))</f>
        <v>#N/A</v>
      </c>
      <c r="Z136" s="126" t="e">
        <f>"JBG-OP1-CENTRAL-"&amp;VLOOKUP(OB_Act[[#This Row],[Pit]],$AK$2:$AL$9,2,0)&amp;"-WASTE-"&amp;OB_Act[[#This Row],[Material]]</f>
        <v>#N/A</v>
      </c>
      <c r="AA136" s="126" t="e">
        <f>"JBG-DUMP1-"&amp;VLOOKUP(OB_Act[[#This Row],[Dump]],$AF$2:$AG$55,2,0)&amp;"-"&amp;OB_Act[[#This Row],[Material]]</f>
        <v>#N/A</v>
      </c>
      <c r="AB136" s="126" t="str">
        <f>"JBG-"&amp;OB_Act[[#This Row],[Material]]</f>
        <v>JBG-</v>
      </c>
      <c r="BD136" s="105" t="str">
        <f>RIGHT(Type_DT_OB[[#This Row],[Nama DT]],4)</f>
        <v>1006</v>
      </c>
      <c r="BE136" s="105" t="s">
        <v>513</v>
      </c>
      <c r="BF136" s="105">
        <v>15</v>
      </c>
      <c r="BG136" s="105">
        <v>14</v>
      </c>
      <c r="BH136" s="105" t="s">
        <v>508</v>
      </c>
      <c r="BI136" s="105" t="s">
        <v>438</v>
      </c>
      <c r="BK136" s="105" t="str">
        <f>RIGHT(Type_mud[[#This Row],[Nama DT]],4)</f>
        <v>1006</v>
      </c>
      <c r="BL136" s="105" t="s">
        <v>513</v>
      </c>
      <c r="BM136" s="105" t="s">
        <v>657</v>
      </c>
    </row>
    <row r="137" spans="13:65">
      <c r="M137" s="105">
        <f>OB_Act[[#This Row],[Volume (BCM)]]*OB_Act[[#This Row],[Distance (Meter)]]</f>
        <v>0</v>
      </c>
      <c r="N137" s="105" t="str">
        <f>LEFT(OB_Act[[#This Row],[Dump Truck]],3)</f>
        <v/>
      </c>
      <c r="O137" s="126" t="str">
        <f>OB_Act[[#This Row],[Day]]&amp;OB_Act[[#This Row],[Excavator]]&amp;OB_Act[[#This Row],[Contractor]]&amp;OB_Act[[#This Row],[Pit]]&amp;OB_Act[[#This Row],[Shift]]</f>
        <v/>
      </c>
      <c r="P137" s="126">
        <f>1/COUNTIF(OB_Act[Dummy_Exc],OB_Act[[#This Row],[Dummy_Exc]])</f>
        <v>4.1841004184100415E-3</v>
      </c>
      <c r="Q137" s="105" t="str">
        <f>OB_Act[[#This Row],[Day]]&amp;OB_Act[[#This Row],[Dump Truck]]&amp;OB_Act[[#This Row],[Pit]]&amp;OB_Act[[#This Row],[Shift]]</f>
        <v/>
      </c>
      <c r="R137" s="126">
        <f>1/COUNTIF(OB_Act[Dummy_DT],OB_Act[[#This Row],[Dummy_DT]])</f>
        <v>4.1841004184100415E-3</v>
      </c>
      <c r="S137" s="126">
        <f>OB_Act[[#This Row],[Distance (Meter)]]*OB_Act[[#This Row],[Volume (BCM)]]</f>
        <v>0</v>
      </c>
      <c r="T137" s="105" t="str">
        <f>OB_Act[[#This Row],[Day]]&amp;OB_Act[[#This Row],[Dump Truck]]&amp;OB_Act[[#This Row],[Contractor]]&amp;OB_Act[[#This Row],[Excavator]]&amp;OB_Act[[#This Row],[Shift]]</f>
        <v/>
      </c>
      <c r="U137" s="126">
        <f>1/COUNTIF(OB_Act[Dummy_DT/Exc],OB_Act[[#This Row],[Dummy_DT/Exc]])</f>
        <v>4.1841004184100415E-3</v>
      </c>
      <c r="V137" s="126" t="e">
        <f>VLOOKUP(OB_Act[[#This Row],[Day]],$AO$2:$AR$32,4,0)</f>
        <v>#N/A</v>
      </c>
      <c r="W137" s="126" t="e">
        <f>VLOOKUP(OB_Act[[#This Row],[Dump Area]],$AE$2:$AF$51,2,0)</f>
        <v>#N/A</v>
      </c>
      <c r="X137" s="126" t="str">
        <f>OB_Act[[#This Row],[Excavator]]&amp;OB_Act[[#This Row],[Contractor]]</f>
        <v/>
      </c>
      <c r="Y137" s="126" t="e">
        <f>IF(OB_Act[[#This Row],[Material]]="MUD",VLOOKUP(OB_Act[[#This Row],[Dump Truck]],Type_mud[[Nama DT]:[Type]],2,0),VLOOKUP(OB_Act[[#This Row],[Dump Truck]],Type_DT_OB[[Nama DT]:[Type]],4,0))</f>
        <v>#N/A</v>
      </c>
      <c r="Z137" s="126" t="e">
        <f>"JBG-OP1-CENTRAL-"&amp;VLOOKUP(OB_Act[[#This Row],[Pit]],$AK$2:$AL$9,2,0)&amp;"-WASTE-"&amp;OB_Act[[#This Row],[Material]]</f>
        <v>#N/A</v>
      </c>
      <c r="AA137" s="126" t="e">
        <f>"JBG-DUMP1-"&amp;VLOOKUP(OB_Act[[#This Row],[Dump]],$AF$2:$AG$55,2,0)&amp;"-"&amp;OB_Act[[#This Row],[Material]]</f>
        <v>#N/A</v>
      </c>
      <c r="AB137" s="126" t="str">
        <f>"JBG-"&amp;OB_Act[[#This Row],[Material]]</f>
        <v>JBG-</v>
      </c>
      <c r="BD137" s="105" t="str">
        <f>RIGHT(Type_DT_OB[[#This Row],[Nama DT]],4)</f>
        <v>1007</v>
      </c>
      <c r="BE137" s="105" t="s">
        <v>514</v>
      </c>
      <c r="BF137" s="105">
        <v>15</v>
      </c>
      <c r="BG137" s="105">
        <v>14</v>
      </c>
      <c r="BH137" s="105" t="s">
        <v>508</v>
      </c>
      <c r="BI137" s="105" t="s">
        <v>438</v>
      </c>
      <c r="BK137" s="105" t="str">
        <f>RIGHT(Type_mud[[#This Row],[Nama DT]],4)</f>
        <v>1007</v>
      </c>
      <c r="BL137" s="105" t="s">
        <v>514</v>
      </c>
      <c r="BM137" s="105" t="s">
        <v>657</v>
      </c>
    </row>
    <row r="138" spans="13:65">
      <c r="M138" s="105">
        <f>OB_Act[[#This Row],[Volume (BCM)]]*OB_Act[[#This Row],[Distance (Meter)]]</f>
        <v>0</v>
      </c>
      <c r="N138" s="105" t="str">
        <f>LEFT(OB_Act[[#This Row],[Dump Truck]],3)</f>
        <v/>
      </c>
      <c r="O138" s="126" t="str">
        <f>OB_Act[[#This Row],[Day]]&amp;OB_Act[[#This Row],[Excavator]]&amp;OB_Act[[#This Row],[Contractor]]&amp;OB_Act[[#This Row],[Pit]]&amp;OB_Act[[#This Row],[Shift]]</f>
        <v/>
      </c>
      <c r="P138" s="126">
        <f>1/COUNTIF(OB_Act[Dummy_Exc],OB_Act[[#This Row],[Dummy_Exc]])</f>
        <v>4.1841004184100415E-3</v>
      </c>
      <c r="Q138" s="105" t="str">
        <f>OB_Act[[#This Row],[Day]]&amp;OB_Act[[#This Row],[Dump Truck]]&amp;OB_Act[[#This Row],[Pit]]&amp;OB_Act[[#This Row],[Shift]]</f>
        <v/>
      </c>
      <c r="R138" s="126">
        <f>1/COUNTIF(OB_Act[Dummy_DT],OB_Act[[#This Row],[Dummy_DT]])</f>
        <v>4.1841004184100415E-3</v>
      </c>
      <c r="S138" s="126">
        <f>OB_Act[[#This Row],[Distance (Meter)]]*OB_Act[[#This Row],[Volume (BCM)]]</f>
        <v>0</v>
      </c>
      <c r="T138" s="105" t="str">
        <f>OB_Act[[#This Row],[Day]]&amp;OB_Act[[#This Row],[Dump Truck]]&amp;OB_Act[[#This Row],[Contractor]]&amp;OB_Act[[#This Row],[Excavator]]&amp;OB_Act[[#This Row],[Shift]]</f>
        <v/>
      </c>
      <c r="U138" s="126">
        <f>1/COUNTIF(OB_Act[Dummy_DT/Exc],OB_Act[[#This Row],[Dummy_DT/Exc]])</f>
        <v>4.1841004184100415E-3</v>
      </c>
      <c r="V138" s="126" t="e">
        <f>VLOOKUP(OB_Act[[#This Row],[Day]],$AO$2:$AR$32,4,0)</f>
        <v>#N/A</v>
      </c>
      <c r="W138" s="126" t="e">
        <f>VLOOKUP(OB_Act[[#This Row],[Dump Area]],$AE$2:$AF$51,2,0)</f>
        <v>#N/A</v>
      </c>
      <c r="X138" s="126" t="str">
        <f>OB_Act[[#This Row],[Excavator]]&amp;OB_Act[[#This Row],[Contractor]]</f>
        <v/>
      </c>
      <c r="Y138" s="126" t="e">
        <f>IF(OB_Act[[#This Row],[Material]]="MUD",VLOOKUP(OB_Act[[#This Row],[Dump Truck]],Type_mud[[Nama DT]:[Type]],2,0),VLOOKUP(OB_Act[[#This Row],[Dump Truck]],Type_DT_OB[[Nama DT]:[Type]],4,0))</f>
        <v>#N/A</v>
      </c>
      <c r="Z138" s="126" t="e">
        <f>"JBG-OP1-CENTRAL-"&amp;VLOOKUP(OB_Act[[#This Row],[Pit]],$AK$2:$AL$9,2,0)&amp;"-WASTE-"&amp;OB_Act[[#This Row],[Material]]</f>
        <v>#N/A</v>
      </c>
      <c r="AA138" s="126" t="e">
        <f>"JBG-DUMP1-"&amp;VLOOKUP(OB_Act[[#This Row],[Dump]],$AF$2:$AG$55,2,0)&amp;"-"&amp;OB_Act[[#This Row],[Material]]</f>
        <v>#N/A</v>
      </c>
      <c r="AB138" s="126" t="str">
        <f>"JBG-"&amp;OB_Act[[#This Row],[Material]]</f>
        <v>JBG-</v>
      </c>
      <c r="BD138" s="105" t="str">
        <f>RIGHT(Type_DT_OB[[#This Row],[Nama DT]],4)</f>
        <v>1008</v>
      </c>
      <c r="BE138" s="105" t="s">
        <v>515</v>
      </c>
      <c r="BF138" s="105">
        <v>15</v>
      </c>
      <c r="BG138" s="105">
        <v>14</v>
      </c>
      <c r="BH138" s="105" t="s">
        <v>508</v>
      </c>
      <c r="BI138" s="105" t="s">
        <v>438</v>
      </c>
      <c r="BK138" s="105" t="str">
        <f>RIGHT(Type_mud[[#This Row],[Nama DT]],4)</f>
        <v>1008</v>
      </c>
      <c r="BL138" s="105" t="s">
        <v>515</v>
      </c>
      <c r="BM138" s="105" t="s">
        <v>657</v>
      </c>
    </row>
    <row r="139" spans="13:65">
      <c r="M139" s="105">
        <f>OB_Act[[#This Row],[Volume (BCM)]]*OB_Act[[#This Row],[Distance (Meter)]]</f>
        <v>0</v>
      </c>
      <c r="N139" s="105" t="str">
        <f>LEFT(OB_Act[[#This Row],[Dump Truck]],3)</f>
        <v/>
      </c>
      <c r="O139" s="126" t="str">
        <f>OB_Act[[#This Row],[Day]]&amp;OB_Act[[#This Row],[Excavator]]&amp;OB_Act[[#This Row],[Contractor]]&amp;OB_Act[[#This Row],[Pit]]&amp;OB_Act[[#This Row],[Shift]]</f>
        <v/>
      </c>
      <c r="P139" s="126">
        <f>1/COUNTIF(OB_Act[Dummy_Exc],OB_Act[[#This Row],[Dummy_Exc]])</f>
        <v>4.1841004184100415E-3</v>
      </c>
      <c r="Q139" s="105" t="str">
        <f>OB_Act[[#This Row],[Day]]&amp;OB_Act[[#This Row],[Dump Truck]]&amp;OB_Act[[#This Row],[Pit]]&amp;OB_Act[[#This Row],[Shift]]</f>
        <v/>
      </c>
      <c r="R139" s="126">
        <f>1/COUNTIF(OB_Act[Dummy_DT],OB_Act[[#This Row],[Dummy_DT]])</f>
        <v>4.1841004184100415E-3</v>
      </c>
      <c r="S139" s="126">
        <f>OB_Act[[#This Row],[Distance (Meter)]]*OB_Act[[#This Row],[Volume (BCM)]]</f>
        <v>0</v>
      </c>
      <c r="T139" s="105" t="str">
        <f>OB_Act[[#This Row],[Day]]&amp;OB_Act[[#This Row],[Dump Truck]]&amp;OB_Act[[#This Row],[Contractor]]&amp;OB_Act[[#This Row],[Excavator]]&amp;OB_Act[[#This Row],[Shift]]</f>
        <v/>
      </c>
      <c r="U139" s="126">
        <f>1/COUNTIF(OB_Act[Dummy_DT/Exc],OB_Act[[#This Row],[Dummy_DT/Exc]])</f>
        <v>4.1841004184100415E-3</v>
      </c>
      <c r="V139" s="126" t="e">
        <f>VLOOKUP(OB_Act[[#This Row],[Day]],$AO$2:$AR$32,4,0)</f>
        <v>#N/A</v>
      </c>
      <c r="W139" s="126" t="e">
        <f>VLOOKUP(OB_Act[[#This Row],[Dump Area]],$AE$2:$AF$51,2,0)</f>
        <v>#N/A</v>
      </c>
      <c r="X139" s="126" t="str">
        <f>OB_Act[[#This Row],[Excavator]]&amp;OB_Act[[#This Row],[Contractor]]</f>
        <v/>
      </c>
      <c r="Y139" s="126" t="e">
        <f>IF(OB_Act[[#This Row],[Material]]="MUD",VLOOKUP(OB_Act[[#This Row],[Dump Truck]],Type_mud[[Nama DT]:[Type]],2,0),VLOOKUP(OB_Act[[#This Row],[Dump Truck]],Type_DT_OB[[Nama DT]:[Type]],4,0))</f>
        <v>#N/A</v>
      </c>
      <c r="Z139" s="126" t="e">
        <f>"JBG-OP1-CENTRAL-"&amp;VLOOKUP(OB_Act[[#This Row],[Pit]],$AK$2:$AL$9,2,0)&amp;"-WASTE-"&amp;OB_Act[[#This Row],[Material]]</f>
        <v>#N/A</v>
      </c>
      <c r="AA139" s="126" t="e">
        <f>"JBG-DUMP1-"&amp;VLOOKUP(OB_Act[[#This Row],[Dump]],$AF$2:$AG$55,2,0)&amp;"-"&amp;OB_Act[[#This Row],[Material]]</f>
        <v>#N/A</v>
      </c>
      <c r="AB139" s="126" t="str">
        <f>"JBG-"&amp;OB_Act[[#This Row],[Material]]</f>
        <v>JBG-</v>
      </c>
      <c r="BD139" s="105" t="str">
        <f>RIGHT(Type_DT_OB[[#This Row],[Nama DT]],4)</f>
        <v>1009</v>
      </c>
      <c r="BE139" s="105" t="s">
        <v>516</v>
      </c>
      <c r="BF139" s="105">
        <v>15</v>
      </c>
      <c r="BG139" s="105">
        <v>14</v>
      </c>
      <c r="BH139" s="105" t="s">
        <v>508</v>
      </c>
      <c r="BI139" s="105" t="s">
        <v>438</v>
      </c>
      <c r="BK139" s="105" t="str">
        <f>RIGHT(Type_mud[[#This Row],[Nama DT]],4)</f>
        <v>1009</v>
      </c>
      <c r="BL139" s="105" t="s">
        <v>516</v>
      </c>
      <c r="BM139" s="105" t="s">
        <v>657</v>
      </c>
    </row>
    <row r="140" spans="13:65">
      <c r="M140" s="105">
        <f>OB_Act[[#This Row],[Volume (BCM)]]*OB_Act[[#This Row],[Distance (Meter)]]</f>
        <v>0</v>
      </c>
      <c r="N140" s="105" t="str">
        <f>LEFT(OB_Act[[#This Row],[Dump Truck]],3)</f>
        <v/>
      </c>
      <c r="O140" s="126" t="str">
        <f>OB_Act[[#This Row],[Day]]&amp;OB_Act[[#This Row],[Excavator]]&amp;OB_Act[[#This Row],[Contractor]]&amp;OB_Act[[#This Row],[Pit]]&amp;OB_Act[[#This Row],[Shift]]</f>
        <v/>
      </c>
      <c r="P140" s="126">
        <f>1/COUNTIF(OB_Act[Dummy_Exc],OB_Act[[#This Row],[Dummy_Exc]])</f>
        <v>4.1841004184100415E-3</v>
      </c>
      <c r="Q140" s="105" t="str">
        <f>OB_Act[[#This Row],[Day]]&amp;OB_Act[[#This Row],[Dump Truck]]&amp;OB_Act[[#This Row],[Pit]]&amp;OB_Act[[#This Row],[Shift]]</f>
        <v/>
      </c>
      <c r="R140" s="126">
        <f>1/COUNTIF(OB_Act[Dummy_DT],OB_Act[[#This Row],[Dummy_DT]])</f>
        <v>4.1841004184100415E-3</v>
      </c>
      <c r="S140" s="126">
        <f>OB_Act[[#This Row],[Distance (Meter)]]*OB_Act[[#This Row],[Volume (BCM)]]</f>
        <v>0</v>
      </c>
      <c r="T140" s="105" t="str">
        <f>OB_Act[[#This Row],[Day]]&amp;OB_Act[[#This Row],[Dump Truck]]&amp;OB_Act[[#This Row],[Contractor]]&amp;OB_Act[[#This Row],[Excavator]]&amp;OB_Act[[#This Row],[Shift]]</f>
        <v/>
      </c>
      <c r="U140" s="126">
        <f>1/COUNTIF(OB_Act[Dummy_DT/Exc],OB_Act[[#This Row],[Dummy_DT/Exc]])</f>
        <v>4.1841004184100415E-3</v>
      </c>
      <c r="V140" s="126" t="e">
        <f>VLOOKUP(OB_Act[[#This Row],[Day]],$AO$2:$AR$32,4,0)</f>
        <v>#N/A</v>
      </c>
      <c r="W140" s="126" t="e">
        <f>VLOOKUP(OB_Act[[#This Row],[Dump Area]],$AE$2:$AF$51,2,0)</f>
        <v>#N/A</v>
      </c>
      <c r="X140" s="126" t="str">
        <f>OB_Act[[#This Row],[Excavator]]&amp;OB_Act[[#This Row],[Contractor]]</f>
        <v/>
      </c>
      <c r="Y140" s="126" t="e">
        <f>IF(OB_Act[[#This Row],[Material]]="MUD",VLOOKUP(OB_Act[[#This Row],[Dump Truck]],Type_mud[[Nama DT]:[Type]],2,0),VLOOKUP(OB_Act[[#This Row],[Dump Truck]],Type_DT_OB[[Nama DT]:[Type]],4,0))</f>
        <v>#N/A</v>
      </c>
      <c r="Z140" s="126" t="e">
        <f>"JBG-OP1-CENTRAL-"&amp;VLOOKUP(OB_Act[[#This Row],[Pit]],$AK$2:$AL$9,2,0)&amp;"-WASTE-"&amp;OB_Act[[#This Row],[Material]]</f>
        <v>#N/A</v>
      </c>
      <c r="AA140" s="126" t="e">
        <f>"JBG-DUMP1-"&amp;VLOOKUP(OB_Act[[#This Row],[Dump]],$AF$2:$AG$55,2,0)&amp;"-"&amp;OB_Act[[#This Row],[Material]]</f>
        <v>#N/A</v>
      </c>
      <c r="AB140" s="126" t="str">
        <f>"JBG-"&amp;OB_Act[[#This Row],[Material]]</f>
        <v>JBG-</v>
      </c>
      <c r="BD140" s="105" t="str">
        <f>RIGHT(Type_DT_OB[[#This Row],[Nama DT]],4)</f>
        <v>1010</v>
      </c>
      <c r="BE140" s="105" t="s">
        <v>517</v>
      </c>
      <c r="BF140" s="105">
        <v>15</v>
      </c>
      <c r="BG140" s="105">
        <v>14</v>
      </c>
      <c r="BH140" s="105" t="s">
        <v>508</v>
      </c>
      <c r="BI140" s="105" t="s">
        <v>438</v>
      </c>
      <c r="BK140" s="105" t="str">
        <f>RIGHT(Type_mud[[#This Row],[Nama DT]],4)</f>
        <v>1010</v>
      </c>
      <c r="BL140" s="105" t="s">
        <v>517</v>
      </c>
      <c r="BM140" s="105" t="s">
        <v>657</v>
      </c>
    </row>
    <row r="141" spans="13:65">
      <c r="M141" s="105">
        <f>OB_Act[[#This Row],[Volume (BCM)]]*OB_Act[[#This Row],[Distance (Meter)]]</f>
        <v>0</v>
      </c>
      <c r="N141" s="105" t="str">
        <f>LEFT(OB_Act[[#This Row],[Dump Truck]],3)</f>
        <v/>
      </c>
      <c r="O141" s="126" t="str">
        <f>OB_Act[[#This Row],[Day]]&amp;OB_Act[[#This Row],[Excavator]]&amp;OB_Act[[#This Row],[Contractor]]&amp;OB_Act[[#This Row],[Pit]]&amp;OB_Act[[#This Row],[Shift]]</f>
        <v/>
      </c>
      <c r="P141" s="126">
        <f>1/COUNTIF(OB_Act[Dummy_Exc],OB_Act[[#This Row],[Dummy_Exc]])</f>
        <v>4.1841004184100415E-3</v>
      </c>
      <c r="Q141" s="105" t="str">
        <f>OB_Act[[#This Row],[Day]]&amp;OB_Act[[#This Row],[Dump Truck]]&amp;OB_Act[[#This Row],[Pit]]&amp;OB_Act[[#This Row],[Shift]]</f>
        <v/>
      </c>
      <c r="R141" s="126">
        <f>1/COUNTIF(OB_Act[Dummy_DT],OB_Act[[#This Row],[Dummy_DT]])</f>
        <v>4.1841004184100415E-3</v>
      </c>
      <c r="S141" s="126">
        <f>OB_Act[[#This Row],[Distance (Meter)]]*OB_Act[[#This Row],[Volume (BCM)]]</f>
        <v>0</v>
      </c>
      <c r="T141" s="105" t="str">
        <f>OB_Act[[#This Row],[Day]]&amp;OB_Act[[#This Row],[Dump Truck]]&amp;OB_Act[[#This Row],[Contractor]]&amp;OB_Act[[#This Row],[Excavator]]&amp;OB_Act[[#This Row],[Shift]]</f>
        <v/>
      </c>
      <c r="U141" s="126">
        <f>1/COUNTIF(OB_Act[Dummy_DT/Exc],OB_Act[[#This Row],[Dummy_DT/Exc]])</f>
        <v>4.1841004184100415E-3</v>
      </c>
      <c r="V141" s="126" t="e">
        <f>VLOOKUP(OB_Act[[#This Row],[Day]],$AO$2:$AR$32,4,0)</f>
        <v>#N/A</v>
      </c>
      <c r="W141" s="126" t="e">
        <f>VLOOKUP(OB_Act[[#This Row],[Dump Area]],$AE$2:$AF$51,2,0)</f>
        <v>#N/A</v>
      </c>
      <c r="X141" s="126" t="str">
        <f>OB_Act[[#This Row],[Excavator]]&amp;OB_Act[[#This Row],[Contractor]]</f>
        <v/>
      </c>
      <c r="Y141" s="126" t="e">
        <f>IF(OB_Act[[#This Row],[Material]]="MUD",VLOOKUP(OB_Act[[#This Row],[Dump Truck]],Type_mud[[Nama DT]:[Type]],2,0),VLOOKUP(OB_Act[[#This Row],[Dump Truck]],Type_DT_OB[[Nama DT]:[Type]],4,0))</f>
        <v>#N/A</v>
      </c>
      <c r="Z141" s="126" t="e">
        <f>"JBG-OP1-CENTRAL-"&amp;VLOOKUP(OB_Act[[#This Row],[Pit]],$AK$2:$AL$9,2,0)&amp;"-WASTE-"&amp;OB_Act[[#This Row],[Material]]</f>
        <v>#N/A</v>
      </c>
      <c r="AA141" s="126" t="e">
        <f>"JBG-DUMP1-"&amp;VLOOKUP(OB_Act[[#This Row],[Dump]],$AF$2:$AG$55,2,0)&amp;"-"&amp;OB_Act[[#This Row],[Material]]</f>
        <v>#N/A</v>
      </c>
      <c r="AB141" s="126" t="str">
        <f>"JBG-"&amp;OB_Act[[#This Row],[Material]]</f>
        <v>JBG-</v>
      </c>
      <c r="BD141" s="105" t="str">
        <f>RIGHT(Type_DT_OB[[#This Row],[Nama DT]],4)</f>
        <v>1011</v>
      </c>
      <c r="BE141" s="105" t="s">
        <v>518</v>
      </c>
      <c r="BF141" s="105">
        <v>15</v>
      </c>
      <c r="BG141" s="105">
        <v>14</v>
      </c>
      <c r="BH141" s="105" t="s">
        <v>508</v>
      </c>
      <c r="BI141" s="105" t="s">
        <v>438</v>
      </c>
      <c r="BK141" s="105" t="str">
        <f>RIGHT(Type_mud[[#This Row],[Nama DT]],4)</f>
        <v>1011</v>
      </c>
      <c r="BL141" s="105" t="s">
        <v>518</v>
      </c>
      <c r="BM141" s="105" t="s">
        <v>657</v>
      </c>
    </row>
    <row r="142" spans="13:65">
      <c r="M142" s="105">
        <f>OB_Act[[#This Row],[Volume (BCM)]]*OB_Act[[#This Row],[Distance (Meter)]]</f>
        <v>0</v>
      </c>
      <c r="N142" s="105" t="str">
        <f>LEFT(OB_Act[[#This Row],[Dump Truck]],3)</f>
        <v/>
      </c>
      <c r="O142" s="126" t="str">
        <f>OB_Act[[#This Row],[Day]]&amp;OB_Act[[#This Row],[Excavator]]&amp;OB_Act[[#This Row],[Contractor]]&amp;OB_Act[[#This Row],[Pit]]&amp;OB_Act[[#This Row],[Shift]]</f>
        <v/>
      </c>
      <c r="P142" s="126">
        <f>1/COUNTIF(OB_Act[Dummy_Exc],OB_Act[[#This Row],[Dummy_Exc]])</f>
        <v>4.1841004184100415E-3</v>
      </c>
      <c r="Q142" s="105" t="str">
        <f>OB_Act[[#This Row],[Day]]&amp;OB_Act[[#This Row],[Dump Truck]]&amp;OB_Act[[#This Row],[Pit]]&amp;OB_Act[[#This Row],[Shift]]</f>
        <v/>
      </c>
      <c r="R142" s="126">
        <f>1/COUNTIF(OB_Act[Dummy_DT],OB_Act[[#This Row],[Dummy_DT]])</f>
        <v>4.1841004184100415E-3</v>
      </c>
      <c r="S142" s="126">
        <f>OB_Act[[#This Row],[Distance (Meter)]]*OB_Act[[#This Row],[Volume (BCM)]]</f>
        <v>0</v>
      </c>
      <c r="T142" s="105" t="str">
        <f>OB_Act[[#This Row],[Day]]&amp;OB_Act[[#This Row],[Dump Truck]]&amp;OB_Act[[#This Row],[Contractor]]&amp;OB_Act[[#This Row],[Excavator]]&amp;OB_Act[[#This Row],[Shift]]</f>
        <v/>
      </c>
      <c r="U142" s="126">
        <f>1/COUNTIF(OB_Act[Dummy_DT/Exc],OB_Act[[#This Row],[Dummy_DT/Exc]])</f>
        <v>4.1841004184100415E-3</v>
      </c>
      <c r="V142" s="126" t="e">
        <f>VLOOKUP(OB_Act[[#This Row],[Day]],$AO$2:$AR$32,4,0)</f>
        <v>#N/A</v>
      </c>
      <c r="W142" s="126" t="e">
        <f>VLOOKUP(OB_Act[[#This Row],[Dump Area]],$AE$2:$AF$51,2,0)</f>
        <v>#N/A</v>
      </c>
      <c r="X142" s="126" t="str">
        <f>OB_Act[[#This Row],[Excavator]]&amp;OB_Act[[#This Row],[Contractor]]</f>
        <v/>
      </c>
      <c r="Y142" s="126" t="e">
        <f>IF(OB_Act[[#This Row],[Material]]="MUD",VLOOKUP(OB_Act[[#This Row],[Dump Truck]],Type_mud[[Nama DT]:[Type]],2,0),VLOOKUP(OB_Act[[#This Row],[Dump Truck]],Type_DT_OB[[Nama DT]:[Type]],4,0))</f>
        <v>#N/A</v>
      </c>
      <c r="Z142" s="126" t="e">
        <f>"JBG-OP1-CENTRAL-"&amp;VLOOKUP(OB_Act[[#This Row],[Pit]],$AK$2:$AL$9,2,0)&amp;"-WASTE-"&amp;OB_Act[[#This Row],[Material]]</f>
        <v>#N/A</v>
      </c>
      <c r="AA142" s="126" t="e">
        <f>"JBG-DUMP1-"&amp;VLOOKUP(OB_Act[[#This Row],[Dump]],$AF$2:$AG$55,2,0)&amp;"-"&amp;OB_Act[[#This Row],[Material]]</f>
        <v>#N/A</v>
      </c>
      <c r="AB142" s="126" t="str">
        <f>"JBG-"&amp;OB_Act[[#This Row],[Material]]</f>
        <v>JBG-</v>
      </c>
      <c r="BD142" s="105" t="str">
        <f>RIGHT(Type_DT_OB[[#This Row],[Nama DT]],4)</f>
        <v>1012</v>
      </c>
      <c r="BE142" s="105" t="s">
        <v>519</v>
      </c>
      <c r="BF142" s="105">
        <v>15</v>
      </c>
      <c r="BG142" s="105">
        <v>14</v>
      </c>
      <c r="BH142" s="105" t="s">
        <v>508</v>
      </c>
      <c r="BI142" s="105" t="s">
        <v>438</v>
      </c>
      <c r="BK142" s="105" t="str">
        <f>RIGHT(Type_mud[[#This Row],[Nama DT]],4)</f>
        <v>1012</v>
      </c>
      <c r="BL142" s="105" t="s">
        <v>519</v>
      </c>
      <c r="BM142" s="105" t="s">
        <v>657</v>
      </c>
    </row>
    <row r="143" spans="13:65">
      <c r="M143" s="105">
        <f>OB_Act[[#This Row],[Volume (BCM)]]*OB_Act[[#This Row],[Distance (Meter)]]</f>
        <v>0</v>
      </c>
      <c r="N143" s="105" t="str">
        <f>LEFT(OB_Act[[#This Row],[Dump Truck]],3)</f>
        <v/>
      </c>
      <c r="O143" s="126" t="str">
        <f>OB_Act[[#This Row],[Day]]&amp;OB_Act[[#This Row],[Excavator]]&amp;OB_Act[[#This Row],[Contractor]]&amp;OB_Act[[#This Row],[Pit]]&amp;OB_Act[[#This Row],[Shift]]</f>
        <v/>
      </c>
      <c r="P143" s="126">
        <f>1/COUNTIF(OB_Act[Dummy_Exc],OB_Act[[#This Row],[Dummy_Exc]])</f>
        <v>4.1841004184100415E-3</v>
      </c>
      <c r="Q143" s="105" t="str">
        <f>OB_Act[[#This Row],[Day]]&amp;OB_Act[[#This Row],[Dump Truck]]&amp;OB_Act[[#This Row],[Pit]]&amp;OB_Act[[#This Row],[Shift]]</f>
        <v/>
      </c>
      <c r="R143" s="126">
        <f>1/COUNTIF(OB_Act[Dummy_DT],OB_Act[[#This Row],[Dummy_DT]])</f>
        <v>4.1841004184100415E-3</v>
      </c>
      <c r="S143" s="126">
        <f>OB_Act[[#This Row],[Distance (Meter)]]*OB_Act[[#This Row],[Volume (BCM)]]</f>
        <v>0</v>
      </c>
      <c r="T143" s="105" t="str">
        <f>OB_Act[[#This Row],[Day]]&amp;OB_Act[[#This Row],[Dump Truck]]&amp;OB_Act[[#This Row],[Contractor]]&amp;OB_Act[[#This Row],[Excavator]]&amp;OB_Act[[#This Row],[Shift]]</f>
        <v/>
      </c>
      <c r="U143" s="126">
        <f>1/COUNTIF(OB_Act[Dummy_DT/Exc],OB_Act[[#This Row],[Dummy_DT/Exc]])</f>
        <v>4.1841004184100415E-3</v>
      </c>
      <c r="V143" s="126" t="e">
        <f>VLOOKUP(OB_Act[[#This Row],[Day]],$AO$2:$AR$32,4,0)</f>
        <v>#N/A</v>
      </c>
      <c r="W143" s="126" t="e">
        <f>VLOOKUP(OB_Act[[#This Row],[Dump Area]],$AE$2:$AF$51,2,0)</f>
        <v>#N/A</v>
      </c>
      <c r="X143" s="126" t="str">
        <f>OB_Act[[#This Row],[Excavator]]&amp;OB_Act[[#This Row],[Contractor]]</f>
        <v/>
      </c>
      <c r="Y143" s="126" t="e">
        <f>IF(OB_Act[[#This Row],[Material]]="MUD",VLOOKUP(OB_Act[[#This Row],[Dump Truck]],Type_mud[[Nama DT]:[Type]],2,0),VLOOKUP(OB_Act[[#This Row],[Dump Truck]],Type_DT_OB[[Nama DT]:[Type]],4,0))</f>
        <v>#N/A</v>
      </c>
      <c r="Z143" s="126" t="e">
        <f>"JBG-OP1-CENTRAL-"&amp;VLOOKUP(OB_Act[[#This Row],[Pit]],$AK$2:$AL$9,2,0)&amp;"-WASTE-"&amp;OB_Act[[#This Row],[Material]]</f>
        <v>#N/A</v>
      </c>
      <c r="AA143" s="126" t="e">
        <f>"JBG-DUMP1-"&amp;VLOOKUP(OB_Act[[#This Row],[Dump]],$AF$2:$AG$55,2,0)&amp;"-"&amp;OB_Act[[#This Row],[Material]]</f>
        <v>#N/A</v>
      </c>
      <c r="AB143" s="126" t="str">
        <f>"JBG-"&amp;OB_Act[[#This Row],[Material]]</f>
        <v>JBG-</v>
      </c>
      <c r="BD143" s="105" t="str">
        <f>RIGHT(Type_DT_OB[[#This Row],[Nama DT]],4)</f>
        <v>1013</v>
      </c>
      <c r="BE143" s="105" t="s">
        <v>520</v>
      </c>
      <c r="BF143" s="105">
        <v>15</v>
      </c>
      <c r="BG143" s="105">
        <v>14</v>
      </c>
      <c r="BH143" s="105" t="s">
        <v>508</v>
      </c>
      <c r="BI143" s="105" t="s">
        <v>438</v>
      </c>
      <c r="BK143" s="105" t="str">
        <f>RIGHT(Type_mud[[#This Row],[Nama DT]],4)</f>
        <v>1013</v>
      </c>
      <c r="BL143" s="105" t="s">
        <v>520</v>
      </c>
      <c r="BM143" s="105" t="s">
        <v>657</v>
      </c>
    </row>
    <row r="144" spans="13:65">
      <c r="M144" s="105">
        <f>OB_Act[[#This Row],[Volume (BCM)]]*OB_Act[[#This Row],[Distance (Meter)]]</f>
        <v>0</v>
      </c>
      <c r="N144" s="105" t="str">
        <f>LEFT(OB_Act[[#This Row],[Dump Truck]],3)</f>
        <v/>
      </c>
      <c r="O144" s="126" t="str">
        <f>OB_Act[[#This Row],[Day]]&amp;OB_Act[[#This Row],[Excavator]]&amp;OB_Act[[#This Row],[Contractor]]&amp;OB_Act[[#This Row],[Pit]]&amp;OB_Act[[#This Row],[Shift]]</f>
        <v/>
      </c>
      <c r="P144" s="126">
        <f>1/COUNTIF(OB_Act[Dummy_Exc],OB_Act[[#This Row],[Dummy_Exc]])</f>
        <v>4.1841004184100415E-3</v>
      </c>
      <c r="Q144" s="105" t="str">
        <f>OB_Act[[#This Row],[Day]]&amp;OB_Act[[#This Row],[Dump Truck]]&amp;OB_Act[[#This Row],[Pit]]&amp;OB_Act[[#This Row],[Shift]]</f>
        <v/>
      </c>
      <c r="R144" s="126">
        <f>1/COUNTIF(OB_Act[Dummy_DT],OB_Act[[#This Row],[Dummy_DT]])</f>
        <v>4.1841004184100415E-3</v>
      </c>
      <c r="S144" s="126">
        <f>OB_Act[[#This Row],[Distance (Meter)]]*OB_Act[[#This Row],[Volume (BCM)]]</f>
        <v>0</v>
      </c>
      <c r="T144" s="105" t="str">
        <f>OB_Act[[#This Row],[Day]]&amp;OB_Act[[#This Row],[Dump Truck]]&amp;OB_Act[[#This Row],[Contractor]]&amp;OB_Act[[#This Row],[Excavator]]&amp;OB_Act[[#This Row],[Shift]]</f>
        <v/>
      </c>
      <c r="U144" s="126">
        <f>1/COUNTIF(OB_Act[Dummy_DT/Exc],OB_Act[[#This Row],[Dummy_DT/Exc]])</f>
        <v>4.1841004184100415E-3</v>
      </c>
      <c r="V144" s="126" t="e">
        <f>VLOOKUP(OB_Act[[#This Row],[Day]],$AO$2:$AR$32,4,0)</f>
        <v>#N/A</v>
      </c>
      <c r="W144" s="126" t="e">
        <f>VLOOKUP(OB_Act[[#This Row],[Dump Area]],$AE$2:$AF$51,2,0)</f>
        <v>#N/A</v>
      </c>
      <c r="X144" s="126" t="str">
        <f>OB_Act[[#This Row],[Excavator]]&amp;OB_Act[[#This Row],[Contractor]]</f>
        <v/>
      </c>
      <c r="Y144" s="126" t="e">
        <f>IF(OB_Act[[#This Row],[Material]]="MUD",VLOOKUP(OB_Act[[#This Row],[Dump Truck]],Type_mud[[Nama DT]:[Type]],2,0),VLOOKUP(OB_Act[[#This Row],[Dump Truck]],Type_DT_OB[[Nama DT]:[Type]],4,0))</f>
        <v>#N/A</v>
      </c>
      <c r="Z144" s="126" t="e">
        <f>"JBG-OP1-CENTRAL-"&amp;VLOOKUP(OB_Act[[#This Row],[Pit]],$AK$2:$AL$9,2,0)&amp;"-WASTE-"&amp;OB_Act[[#This Row],[Material]]</f>
        <v>#N/A</v>
      </c>
      <c r="AA144" s="126" t="e">
        <f>"JBG-DUMP1-"&amp;VLOOKUP(OB_Act[[#This Row],[Dump]],$AF$2:$AG$55,2,0)&amp;"-"&amp;OB_Act[[#This Row],[Material]]</f>
        <v>#N/A</v>
      </c>
      <c r="AB144" s="126" t="str">
        <f>"JBG-"&amp;OB_Act[[#This Row],[Material]]</f>
        <v>JBG-</v>
      </c>
      <c r="BD144" s="105" t="str">
        <f>RIGHT(Type_DT_OB[[#This Row],[Nama DT]],4)</f>
        <v>1014</v>
      </c>
      <c r="BE144" s="105" t="s">
        <v>521</v>
      </c>
      <c r="BF144" s="105">
        <v>15</v>
      </c>
      <c r="BG144" s="105">
        <v>14</v>
      </c>
      <c r="BH144" s="105" t="s">
        <v>508</v>
      </c>
      <c r="BI144" s="105" t="s">
        <v>438</v>
      </c>
      <c r="BK144" s="105" t="str">
        <f>RIGHT(Type_mud[[#This Row],[Nama DT]],4)</f>
        <v>1014</v>
      </c>
      <c r="BL144" s="105" t="s">
        <v>521</v>
      </c>
      <c r="BM144" s="105" t="s">
        <v>657</v>
      </c>
    </row>
    <row r="145" spans="13:65">
      <c r="M145" s="105">
        <f>OB_Act[[#This Row],[Volume (BCM)]]*OB_Act[[#This Row],[Distance (Meter)]]</f>
        <v>0</v>
      </c>
      <c r="N145" s="105" t="str">
        <f>LEFT(OB_Act[[#This Row],[Dump Truck]],3)</f>
        <v/>
      </c>
      <c r="O145" s="126" t="str">
        <f>OB_Act[[#This Row],[Day]]&amp;OB_Act[[#This Row],[Excavator]]&amp;OB_Act[[#This Row],[Contractor]]&amp;OB_Act[[#This Row],[Pit]]&amp;OB_Act[[#This Row],[Shift]]</f>
        <v/>
      </c>
      <c r="P145" s="126">
        <f>1/COUNTIF(OB_Act[Dummy_Exc],OB_Act[[#This Row],[Dummy_Exc]])</f>
        <v>4.1841004184100415E-3</v>
      </c>
      <c r="Q145" s="105" t="str">
        <f>OB_Act[[#This Row],[Day]]&amp;OB_Act[[#This Row],[Dump Truck]]&amp;OB_Act[[#This Row],[Pit]]&amp;OB_Act[[#This Row],[Shift]]</f>
        <v/>
      </c>
      <c r="R145" s="126">
        <f>1/COUNTIF(OB_Act[Dummy_DT],OB_Act[[#This Row],[Dummy_DT]])</f>
        <v>4.1841004184100415E-3</v>
      </c>
      <c r="S145" s="126">
        <f>OB_Act[[#This Row],[Distance (Meter)]]*OB_Act[[#This Row],[Volume (BCM)]]</f>
        <v>0</v>
      </c>
      <c r="T145" s="105" t="str">
        <f>OB_Act[[#This Row],[Day]]&amp;OB_Act[[#This Row],[Dump Truck]]&amp;OB_Act[[#This Row],[Contractor]]&amp;OB_Act[[#This Row],[Excavator]]&amp;OB_Act[[#This Row],[Shift]]</f>
        <v/>
      </c>
      <c r="U145" s="126">
        <f>1/COUNTIF(OB_Act[Dummy_DT/Exc],OB_Act[[#This Row],[Dummy_DT/Exc]])</f>
        <v>4.1841004184100415E-3</v>
      </c>
      <c r="V145" s="126" t="e">
        <f>VLOOKUP(OB_Act[[#This Row],[Day]],$AO$2:$AR$32,4,0)</f>
        <v>#N/A</v>
      </c>
      <c r="W145" s="126" t="e">
        <f>VLOOKUP(OB_Act[[#This Row],[Dump Area]],$AE$2:$AF$51,2,0)</f>
        <v>#N/A</v>
      </c>
      <c r="X145" s="126" t="str">
        <f>OB_Act[[#This Row],[Excavator]]&amp;OB_Act[[#This Row],[Contractor]]</f>
        <v/>
      </c>
      <c r="Y145" s="126" t="e">
        <f>IF(OB_Act[[#This Row],[Material]]="MUD",VLOOKUP(OB_Act[[#This Row],[Dump Truck]],Type_mud[[Nama DT]:[Type]],2,0),VLOOKUP(OB_Act[[#This Row],[Dump Truck]],Type_DT_OB[[Nama DT]:[Type]],4,0))</f>
        <v>#N/A</v>
      </c>
      <c r="Z145" s="126" t="e">
        <f>"JBG-OP1-CENTRAL-"&amp;VLOOKUP(OB_Act[[#This Row],[Pit]],$AK$2:$AL$9,2,0)&amp;"-WASTE-"&amp;OB_Act[[#This Row],[Material]]</f>
        <v>#N/A</v>
      </c>
      <c r="AA145" s="126" t="e">
        <f>"JBG-DUMP1-"&amp;VLOOKUP(OB_Act[[#This Row],[Dump]],$AF$2:$AG$55,2,0)&amp;"-"&amp;OB_Act[[#This Row],[Material]]</f>
        <v>#N/A</v>
      </c>
      <c r="AB145" s="126" t="str">
        <f>"JBG-"&amp;OB_Act[[#This Row],[Material]]</f>
        <v>JBG-</v>
      </c>
      <c r="BD145" s="105" t="str">
        <f>RIGHT(Type_DT_OB[[#This Row],[Nama DT]],4)</f>
        <v>1015</v>
      </c>
      <c r="BE145" s="105" t="s">
        <v>522</v>
      </c>
      <c r="BF145" s="105">
        <v>15</v>
      </c>
      <c r="BG145" s="105">
        <v>14</v>
      </c>
      <c r="BH145" s="105" t="s">
        <v>508</v>
      </c>
      <c r="BI145" s="105" t="s">
        <v>438</v>
      </c>
      <c r="BK145" s="105" t="str">
        <f>RIGHT(Type_mud[[#This Row],[Nama DT]],4)</f>
        <v>1015</v>
      </c>
      <c r="BL145" s="105" t="s">
        <v>522</v>
      </c>
      <c r="BM145" s="105" t="s">
        <v>657</v>
      </c>
    </row>
    <row r="146" spans="13:65">
      <c r="M146" s="105">
        <f>OB_Act[[#This Row],[Volume (BCM)]]*OB_Act[[#This Row],[Distance (Meter)]]</f>
        <v>0</v>
      </c>
      <c r="N146" s="105" t="str">
        <f>LEFT(OB_Act[[#This Row],[Dump Truck]],3)</f>
        <v/>
      </c>
      <c r="O146" s="126" t="str">
        <f>OB_Act[[#This Row],[Day]]&amp;OB_Act[[#This Row],[Excavator]]&amp;OB_Act[[#This Row],[Contractor]]&amp;OB_Act[[#This Row],[Pit]]&amp;OB_Act[[#This Row],[Shift]]</f>
        <v/>
      </c>
      <c r="P146" s="126">
        <f>1/COUNTIF(OB_Act[Dummy_Exc],OB_Act[[#This Row],[Dummy_Exc]])</f>
        <v>4.1841004184100415E-3</v>
      </c>
      <c r="Q146" s="105" t="str">
        <f>OB_Act[[#This Row],[Day]]&amp;OB_Act[[#This Row],[Dump Truck]]&amp;OB_Act[[#This Row],[Pit]]&amp;OB_Act[[#This Row],[Shift]]</f>
        <v/>
      </c>
      <c r="R146" s="126">
        <f>1/COUNTIF(OB_Act[Dummy_DT],OB_Act[[#This Row],[Dummy_DT]])</f>
        <v>4.1841004184100415E-3</v>
      </c>
      <c r="S146" s="126">
        <f>OB_Act[[#This Row],[Distance (Meter)]]*OB_Act[[#This Row],[Volume (BCM)]]</f>
        <v>0</v>
      </c>
      <c r="T146" s="105" t="str">
        <f>OB_Act[[#This Row],[Day]]&amp;OB_Act[[#This Row],[Dump Truck]]&amp;OB_Act[[#This Row],[Contractor]]&amp;OB_Act[[#This Row],[Excavator]]&amp;OB_Act[[#This Row],[Shift]]</f>
        <v/>
      </c>
      <c r="U146" s="126">
        <f>1/COUNTIF(OB_Act[Dummy_DT/Exc],OB_Act[[#This Row],[Dummy_DT/Exc]])</f>
        <v>4.1841004184100415E-3</v>
      </c>
      <c r="V146" s="126" t="e">
        <f>VLOOKUP(OB_Act[[#This Row],[Day]],$AO$2:$AR$32,4,0)</f>
        <v>#N/A</v>
      </c>
      <c r="W146" s="126" t="e">
        <f>VLOOKUP(OB_Act[[#This Row],[Dump Area]],$AE$2:$AF$51,2,0)</f>
        <v>#N/A</v>
      </c>
      <c r="X146" s="126" t="str">
        <f>OB_Act[[#This Row],[Excavator]]&amp;OB_Act[[#This Row],[Contractor]]</f>
        <v/>
      </c>
      <c r="Y146" s="126" t="e">
        <f>IF(OB_Act[[#This Row],[Material]]="MUD",VLOOKUP(OB_Act[[#This Row],[Dump Truck]],Type_mud[[Nama DT]:[Type]],2,0),VLOOKUP(OB_Act[[#This Row],[Dump Truck]],Type_DT_OB[[Nama DT]:[Type]],4,0))</f>
        <v>#N/A</v>
      </c>
      <c r="Z146" s="126" t="e">
        <f>"JBG-OP1-CENTRAL-"&amp;VLOOKUP(OB_Act[[#This Row],[Pit]],$AK$2:$AL$9,2,0)&amp;"-WASTE-"&amp;OB_Act[[#This Row],[Material]]</f>
        <v>#N/A</v>
      </c>
      <c r="AA146" s="126" t="e">
        <f>"JBG-DUMP1-"&amp;VLOOKUP(OB_Act[[#This Row],[Dump]],$AF$2:$AG$55,2,0)&amp;"-"&amp;OB_Act[[#This Row],[Material]]</f>
        <v>#N/A</v>
      </c>
      <c r="AB146" s="126" t="str">
        <f>"JBG-"&amp;OB_Act[[#This Row],[Material]]</f>
        <v>JBG-</v>
      </c>
      <c r="BD146" s="105" t="str">
        <f>RIGHT(Type_DT_OB[[#This Row],[Nama DT]],4)</f>
        <v>1016</v>
      </c>
      <c r="BE146" s="105" t="s">
        <v>523</v>
      </c>
      <c r="BF146" s="105">
        <v>15</v>
      </c>
      <c r="BG146" s="105">
        <v>14</v>
      </c>
      <c r="BH146" s="105" t="s">
        <v>508</v>
      </c>
      <c r="BI146" s="105" t="s">
        <v>438</v>
      </c>
      <c r="BK146" s="105" t="str">
        <f>RIGHT(Type_mud[[#This Row],[Nama DT]],4)</f>
        <v>1016</v>
      </c>
      <c r="BL146" s="105" t="s">
        <v>523</v>
      </c>
      <c r="BM146" s="105" t="s">
        <v>657</v>
      </c>
    </row>
    <row r="147" spans="13:65">
      <c r="M147" s="105">
        <f>OB_Act[[#This Row],[Volume (BCM)]]*OB_Act[[#This Row],[Distance (Meter)]]</f>
        <v>0</v>
      </c>
      <c r="N147" s="105" t="str">
        <f>LEFT(OB_Act[[#This Row],[Dump Truck]],3)</f>
        <v/>
      </c>
      <c r="O147" s="126" t="str">
        <f>OB_Act[[#This Row],[Day]]&amp;OB_Act[[#This Row],[Excavator]]&amp;OB_Act[[#This Row],[Contractor]]&amp;OB_Act[[#This Row],[Pit]]&amp;OB_Act[[#This Row],[Shift]]</f>
        <v/>
      </c>
      <c r="P147" s="126">
        <f>1/COUNTIF(OB_Act[Dummy_Exc],OB_Act[[#This Row],[Dummy_Exc]])</f>
        <v>4.1841004184100415E-3</v>
      </c>
      <c r="Q147" s="105" t="str">
        <f>OB_Act[[#This Row],[Day]]&amp;OB_Act[[#This Row],[Dump Truck]]&amp;OB_Act[[#This Row],[Pit]]&amp;OB_Act[[#This Row],[Shift]]</f>
        <v/>
      </c>
      <c r="R147" s="126">
        <f>1/COUNTIF(OB_Act[Dummy_DT],OB_Act[[#This Row],[Dummy_DT]])</f>
        <v>4.1841004184100415E-3</v>
      </c>
      <c r="S147" s="126">
        <f>OB_Act[[#This Row],[Distance (Meter)]]*OB_Act[[#This Row],[Volume (BCM)]]</f>
        <v>0</v>
      </c>
      <c r="T147" s="105" t="str">
        <f>OB_Act[[#This Row],[Day]]&amp;OB_Act[[#This Row],[Dump Truck]]&amp;OB_Act[[#This Row],[Contractor]]&amp;OB_Act[[#This Row],[Excavator]]&amp;OB_Act[[#This Row],[Shift]]</f>
        <v/>
      </c>
      <c r="U147" s="126">
        <f>1/COUNTIF(OB_Act[Dummy_DT/Exc],OB_Act[[#This Row],[Dummy_DT/Exc]])</f>
        <v>4.1841004184100415E-3</v>
      </c>
      <c r="V147" s="126" t="e">
        <f>VLOOKUP(OB_Act[[#This Row],[Day]],$AO$2:$AR$32,4,0)</f>
        <v>#N/A</v>
      </c>
      <c r="W147" s="126" t="e">
        <f>VLOOKUP(OB_Act[[#This Row],[Dump Area]],$AE$2:$AF$51,2,0)</f>
        <v>#N/A</v>
      </c>
      <c r="X147" s="126" t="str">
        <f>OB_Act[[#This Row],[Excavator]]&amp;OB_Act[[#This Row],[Contractor]]</f>
        <v/>
      </c>
      <c r="Y147" s="126" t="e">
        <f>IF(OB_Act[[#This Row],[Material]]="MUD",VLOOKUP(OB_Act[[#This Row],[Dump Truck]],Type_mud[[Nama DT]:[Type]],2,0),VLOOKUP(OB_Act[[#This Row],[Dump Truck]],Type_DT_OB[[Nama DT]:[Type]],4,0))</f>
        <v>#N/A</v>
      </c>
      <c r="Z147" s="126" t="e">
        <f>"JBG-OP1-CENTRAL-"&amp;VLOOKUP(OB_Act[[#This Row],[Pit]],$AK$2:$AL$9,2,0)&amp;"-WASTE-"&amp;OB_Act[[#This Row],[Material]]</f>
        <v>#N/A</v>
      </c>
      <c r="AA147" s="126" t="e">
        <f>"JBG-DUMP1-"&amp;VLOOKUP(OB_Act[[#This Row],[Dump]],$AF$2:$AG$55,2,0)&amp;"-"&amp;OB_Act[[#This Row],[Material]]</f>
        <v>#N/A</v>
      </c>
      <c r="AB147" s="126" t="str">
        <f>"JBG-"&amp;OB_Act[[#This Row],[Material]]</f>
        <v>JBG-</v>
      </c>
      <c r="BD147" s="105" t="str">
        <f>RIGHT(Type_DT_OB[[#This Row],[Nama DT]],4)</f>
        <v>1017</v>
      </c>
      <c r="BE147" s="105" t="s">
        <v>524</v>
      </c>
      <c r="BF147" s="105">
        <v>15</v>
      </c>
      <c r="BG147" s="105">
        <v>14</v>
      </c>
      <c r="BH147" s="105" t="s">
        <v>508</v>
      </c>
      <c r="BI147" s="105" t="s">
        <v>438</v>
      </c>
      <c r="BK147" s="105" t="str">
        <f>RIGHT(Type_mud[[#This Row],[Nama DT]],4)</f>
        <v>1017</v>
      </c>
      <c r="BL147" s="105" t="s">
        <v>524</v>
      </c>
      <c r="BM147" s="105" t="s">
        <v>657</v>
      </c>
    </row>
    <row r="148" spans="13:65">
      <c r="M148" s="105">
        <f>OB_Act[[#This Row],[Volume (BCM)]]*OB_Act[[#This Row],[Distance (Meter)]]</f>
        <v>0</v>
      </c>
      <c r="N148" s="105" t="str">
        <f>LEFT(OB_Act[[#This Row],[Dump Truck]],3)</f>
        <v/>
      </c>
      <c r="O148" s="126" t="str">
        <f>OB_Act[[#This Row],[Day]]&amp;OB_Act[[#This Row],[Excavator]]&amp;OB_Act[[#This Row],[Contractor]]&amp;OB_Act[[#This Row],[Pit]]&amp;OB_Act[[#This Row],[Shift]]</f>
        <v/>
      </c>
      <c r="P148" s="126">
        <f>1/COUNTIF(OB_Act[Dummy_Exc],OB_Act[[#This Row],[Dummy_Exc]])</f>
        <v>4.1841004184100415E-3</v>
      </c>
      <c r="Q148" s="105" t="str">
        <f>OB_Act[[#This Row],[Day]]&amp;OB_Act[[#This Row],[Dump Truck]]&amp;OB_Act[[#This Row],[Pit]]&amp;OB_Act[[#This Row],[Shift]]</f>
        <v/>
      </c>
      <c r="R148" s="126">
        <f>1/COUNTIF(OB_Act[Dummy_DT],OB_Act[[#This Row],[Dummy_DT]])</f>
        <v>4.1841004184100415E-3</v>
      </c>
      <c r="S148" s="126">
        <f>OB_Act[[#This Row],[Distance (Meter)]]*OB_Act[[#This Row],[Volume (BCM)]]</f>
        <v>0</v>
      </c>
      <c r="T148" s="105" t="str">
        <f>OB_Act[[#This Row],[Day]]&amp;OB_Act[[#This Row],[Dump Truck]]&amp;OB_Act[[#This Row],[Contractor]]&amp;OB_Act[[#This Row],[Excavator]]&amp;OB_Act[[#This Row],[Shift]]</f>
        <v/>
      </c>
      <c r="U148" s="126">
        <f>1/COUNTIF(OB_Act[Dummy_DT/Exc],OB_Act[[#This Row],[Dummy_DT/Exc]])</f>
        <v>4.1841004184100415E-3</v>
      </c>
      <c r="V148" s="126" t="e">
        <f>VLOOKUP(OB_Act[[#This Row],[Day]],$AO$2:$AR$32,4,0)</f>
        <v>#N/A</v>
      </c>
      <c r="W148" s="126" t="e">
        <f>VLOOKUP(OB_Act[[#This Row],[Dump Area]],$AE$2:$AF$51,2,0)</f>
        <v>#N/A</v>
      </c>
      <c r="X148" s="126" t="str">
        <f>OB_Act[[#This Row],[Excavator]]&amp;OB_Act[[#This Row],[Contractor]]</f>
        <v/>
      </c>
      <c r="Y148" s="126" t="e">
        <f>IF(OB_Act[[#This Row],[Material]]="MUD",VLOOKUP(OB_Act[[#This Row],[Dump Truck]],Type_mud[[Nama DT]:[Type]],2,0),VLOOKUP(OB_Act[[#This Row],[Dump Truck]],Type_DT_OB[[Nama DT]:[Type]],4,0))</f>
        <v>#N/A</v>
      </c>
      <c r="Z148" s="126" t="e">
        <f>"JBG-OP1-CENTRAL-"&amp;VLOOKUP(OB_Act[[#This Row],[Pit]],$AK$2:$AL$9,2,0)&amp;"-WASTE-"&amp;OB_Act[[#This Row],[Material]]</f>
        <v>#N/A</v>
      </c>
      <c r="AA148" s="126" t="e">
        <f>"JBG-DUMP1-"&amp;VLOOKUP(OB_Act[[#This Row],[Dump]],$AF$2:$AG$55,2,0)&amp;"-"&amp;OB_Act[[#This Row],[Material]]</f>
        <v>#N/A</v>
      </c>
      <c r="AB148" s="126" t="str">
        <f>"JBG-"&amp;OB_Act[[#This Row],[Material]]</f>
        <v>JBG-</v>
      </c>
      <c r="BD148" s="105" t="str">
        <f>RIGHT(Type_DT_OB[[#This Row],[Nama DT]],4)</f>
        <v>1018</v>
      </c>
      <c r="BE148" s="105" t="s">
        <v>525</v>
      </c>
      <c r="BF148" s="105">
        <v>15</v>
      </c>
      <c r="BG148" s="105">
        <v>14</v>
      </c>
      <c r="BH148" s="105" t="s">
        <v>508</v>
      </c>
      <c r="BI148" s="105" t="s">
        <v>438</v>
      </c>
      <c r="BK148" s="105" t="str">
        <f>RIGHT(Type_mud[[#This Row],[Nama DT]],4)</f>
        <v>1018</v>
      </c>
      <c r="BL148" s="105" t="s">
        <v>525</v>
      </c>
      <c r="BM148" s="105" t="s">
        <v>657</v>
      </c>
    </row>
    <row r="149" spans="13:65">
      <c r="M149" s="105">
        <f>OB_Act[[#This Row],[Volume (BCM)]]*OB_Act[[#This Row],[Distance (Meter)]]</f>
        <v>0</v>
      </c>
      <c r="N149" s="105" t="str">
        <f>LEFT(OB_Act[[#This Row],[Dump Truck]],3)</f>
        <v/>
      </c>
      <c r="O149" s="126" t="str">
        <f>OB_Act[[#This Row],[Day]]&amp;OB_Act[[#This Row],[Excavator]]&amp;OB_Act[[#This Row],[Contractor]]&amp;OB_Act[[#This Row],[Pit]]&amp;OB_Act[[#This Row],[Shift]]</f>
        <v/>
      </c>
      <c r="P149" s="126">
        <f>1/COUNTIF(OB_Act[Dummy_Exc],OB_Act[[#This Row],[Dummy_Exc]])</f>
        <v>4.1841004184100415E-3</v>
      </c>
      <c r="Q149" s="105" t="str">
        <f>OB_Act[[#This Row],[Day]]&amp;OB_Act[[#This Row],[Dump Truck]]&amp;OB_Act[[#This Row],[Pit]]&amp;OB_Act[[#This Row],[Shift]]</f>
        <v/>
      </c>
      <c r="R149" s="126">
        <f>1/COUNTIF(OB_Act[Dummy_DT],OB_Act[[#This Row],[Dummy_DT]])</f>
        <v>4.1841004184100415E-3</v>
      </c>
      <c r="S149" s="126">
        <f>OB_Act[[#This Row],[Distance (Meter)]]*OB_Act[[#This Row],[Volume (BCM)]]</f>
        <v>0</v>
      </c>
      <c r="T149" s="105" t="str">
        <f>OB_Act[[#This Row],[Day]]&amp;OB_Act[[#This Row],[Dump Truck]]&amp;OB_Act[[#This Row],[Contractor]]&amp;OB_Act[[#This Row],[Excavator]]&amp;OB_Act[[#This Row],[Shift]]</f>
        <v/>
      </c>
      <c r="U149" s="126">
        <f>1/COUNTIF(OB_Act[Dummy_DT/Exc],OB_Act[[#This Row],[Dummy_DT/Exc]])</f>
        <v>4.1841004184100415E-3</v>
      </c>
      <c r="V149" s="126" t="e">
        <f>VLOOKUP(OB_Act[[#This Row],[Day]],$AO$2:$AR$32,4,0)</f>
        <v>#N/A</v>
      </c>
      <c r="W149" s="126" t="e">
        <f>VLOOKUP(OB_Act[[#This Row],[Dump Area]],$AE$2:$AF$51,2,0)</f>
        <v>#N/A</v>
      </c>
      <c r="X149" s="126" t="str">
        <f>OB_Act[[#This Row],[Excavator]]&amp;OB_Act[[#This Row],[Contractor]]</f>
        <v/>
      </c>
      <c r="Y149" s="126" t="e">
        <f>IF(OB_Act[[#This Row],[Material]]="MUD",VLOOKUP(OB_Act[[#This Row],[Dump Truck]],Type_mud[[Nama DT]:[Type]],2,0),VLOOKUP(OB_Act[[#This Row],[Dump Truck]],Type_DT_OB[[Nama DT]:[Type]],4,0))</f>
        <v>#N/A</v>
      </c>
      <c r="Z149" s="126" t="e">
        <f>"JBG-OP1-CENTRAL-"&amp;VLOOKUP(OB_Act[[#This Row],[Pit]],$AK$2:$AL$9,2,0)&amp;"-WASTE-"&amp;OB_Act[[#This Row],[Material]]</f>
        <v>#N/A</v>
      </c>
      <c r="AA149" s="126" t="e">
        <f>"JBG-DUMP1-"&amp;VLOOKUP(OB_Act[[#This Row],[Dump]],$AF$2:$AG$55,2,0)&amp;"-"&amp;OB_Act[[#This Row],[Material]]</f>
        <v>#N/A</v>
      </c>
      <c r="AB149" s="126" t="str">
        <f>"JBG-"&amp;OB_Act[[#This Row],[Material]]</f>
        <v>JBG-</v>
      </c>
      <c r="BD149" s="105" t="str">
        <f>RIGHT(Type_DT_OB[[#This Row],[Nama DT]],4)</f>
        <v>1019</v>
      </c>
      <c r="BE149" s="105" t="s">
        <v>526</v>
      </c>
      <c r="BF149" s="105">
        <v>15</v>
      </c>
      <c r="BG149" s="105">
        <v>14</v>
      </c>
      <c r="BH149" s="105" t="s">
        <v>508</v>
      </c>
      <c r="BI149" s="105" t="s">
        <v>438</v>
      </c>
      <c r="BK149" s="105" t="str">
        <f>RIGHT(Type_mud[[#This Row],[Nama DT]],4)</f>
        <v>1019</v>
      </c>
      <c r="BL149" s="105" t="s">
        <v>526</v>
      </c>
      <c r="BM149" s="105" t="s">
        <v>657</v>
      </c>
    </row>
    <row r="150" spans="13:65">
      <c r="M150" s="105">
        <f>OB_Act[[#This Row],[Volume (BCM)]]*OB_Act[[#This Row],[Distance (Meter)]]</f>
        <v>0</v>
      </c>
      <c r="N150" s="105" t="str">
        <f>LEFT(OB_Act[[#This Row],[Dump Truck]],3)</f>
        <v/>
      </c>
      <c r="O150" s="126" t="str">
        <f>OB_Act[[#This Row],[Day]]&amp;OB_Act[[#This Row],[Excavator]]&amp;OB_Act[[#This Row],[Contractor]]&amp;OB_Act[[#This Row],[Pit]]&amp;OB_Act[[#This Row],[Shift]]</f>
        <v/>
      </c>
      <c r="P150" s="126">
        <f>1/COUNTIF(OB_Act[Dummy_Exc],OB_Act[[#This Row],[Dummy_Exc]])</f>
        <v>4.1841004184100415E-3</v>
      </c>
      <c r="Q150" s="105" t="str">
        <f>OB_Act[[#This Row],[Day]]&amp;OB_Act[[#This Row],[Dump Truck]]&amp;OB_Act[[#This Row],[Pit]]&amp;OB_Act[[#This Row],[Shift]]</f>
        <v/>
      </c>
      <c r="R150" s="126">
        <f>1/COUNTIF(OB_Act[Dummy_DT],OB_Act[[#This Row],[Dummy_DT]])</f>
        <v>4.1841004184100415E-3</v>
      </c>
      <c r="S150" s="126">
        <f>OB_Act[[#This Row],[Distance (Meter)]]*OB_Act[[#This Row],[Volume (BCM)]]</f>
        <v>0</v>
      </c>
      <c r="T150" s="105" t="str">
        <f>OB_Act[[#This Row],[Day]]&amp;OB_Act[[#This Row],[Dump Truck]]&amp;OB_Act[[#This Row],[Contractor]]&amp;OB_Act[[#This Row],[Excavator]]&amp;OB_Act[[#This Row],[Shift]]</f>
        <v/>
      </c>
      <c r="U150" s="126">
        <f>1/COUNTIF(OB_Act[Dummy_DT/Exc],OB_Act[[#This Row],[Dummy_DT/Exc]])</f>
        <v>4.1841004184100415E-3</v>
      </c>
      <c r="V150" s="126" t="e">
        <f>VLOOKUP(OB_Act[[#This Row],[Day]],$AO$2:$AR$32,4,0)</f>
        <v>#N/A</v>
      </c>
      <c r="W150" s="126" t="e">
        <f>VLOOKUP(OB_Act[[#This Row],[Dump Area]],$AE$2:$AF$51,2,0)</f>
        <v>#N/A</v>
      </c>
      <c r="X150" s="126" t="str">
        <f>OB_Act[[#This Row],[Excavator]]&amp;OB_Act[[#This Row],[Contractor]]</f>
        <v/>
      </c>
      <c r="Y150" s="126" t="e">
        <f>IF(OB_Act[[#This Row],[Material]]="MUD",VLOOKUP(OB_Act[[#This Row],[Dump Truck]],Type_mud[[Nama DT]:[Type]],2,0),VLOOKUP(OB_Act[[#This Row],[Dump Truck]],Type_DT_OB[[Nama DT]:[Type]],4,0))</f>
        <v>#N/A</v>
      </c>
      <c r="Z150" s="126" t="e">
        <f>"JBG-OP1-CENTRAL-"&amp;VLOOKUP(OB_Act[[#This Row],[Pit]],$AK$2:$AL$9,2,0)&amp;"-WASTE-"&amp;OB_Act[[#This Row],[Material]]</f>
        <v>#N/A</v>
      </c>
      <c r="AA150" s="126" t="e">
        <f>"JBG-DUMP1-"&amp;VLOOKUP(OB_Act[[#This Row],[Dump]],$AF$2:$AG$55,2,0)&amp;"-"&amp;OB_Act[[#This Row],[Material]]</f>
        <v>#N/A</v>
      </c>
      <c r="AB150" s="126" t="str">
        <f>"JBG-"&amp;OB_Act[[#This Row],[Material]]</f>
        <v>JBG-</v>
      </c>
      <c r="BD150" s="105" t="str">
        <f>RIGHT(Type_DT_OB[[#This Row],[Nama DT]],4)</f>
        <v>1020</v>
      </c>
      <c r="BE150" s="105" t="s">
        <v>527</v>
      </c>
      <c r="BF150" s="105">
        <v>15</v>
      </c>
      <c r="BG150" s="105">
        <v>14</v>
      </c>
      <c r="BH150" s="105" t="s">
        <v>508</v>
      </c>
      <c r="BI150" s="105" t="s">
        <v>438</v>
      </c>
      <c r="BK150" s="105" t="str">
        <f>RIGHT(Type_mud[[#This Row],[Nama DT]],4)</f>
        <v>1020</v>
      </c>
      <c r="BL150" s="105" t="s">
        <v>527</v>
      </c>
      <c r="BM150" s="105" t="s">
        <v>657</v>
      </c>
    </row>
    <row r="151" spans="13:65">
      <c r="M151" s="105">
        <f>OB_Act[[#This Row],[Volume (BCM)]]*OB_Act[[#This Row],[Distance (Meter)]]</f>
        <v>0</v>
      </c>
      <c r="N151" s="105" t="str">
        <f>LEFT(OB_Act[[#This Row],[Dump Truck]],3)</f>
        <v/>
      </c>
      <c r="O151" s="126" t="str">
        <f>OB_Act[[#This Row],[Day]]&amp;OB_Act[[#This Row],[Excavator]]&amp;OB_Act[[#This Row],[Contractor]]&amp;OB_Act[[#This Row],[Pit]]&amp;OB_Act[[#This Row],[Shift]]</f>
        <v/>
      </c>
      <c r="P151" s="126">
        <f>1/COUNTIF(OB_Act[Dummy_Exc],OB_Act[[#This Row],[Dummy_Exc]])</f>
        <v>4.1841004184100415E-3</v>
      </c>
      <c r="Q151" s="105" t="str">
        <f>OB_Act[[#This Row],[Day]]&amp;OB_Act[[#This Row],[Dump Truck]]&amp;OB_Act[[#This Row],[Pit]]&amp;OB_Act[[#This Row],[Shift]]</f>
        <v/>
      </c>
      <c r="R151" s="126">
        <f>1/COUNTIF(OB_Act[Dummy_DT],OB_Act[[#This Row],[Dummy_DT]])</f>
        <v>4.1841004184100415E-3</v>
      </c>
      <c r="S151" s="126">
        <f>OB_Act[[#This Row],[Distance (Meter)]]*OB_Act[[#This Row],[Volume (BCM)]]</f>
        <v>0</v>
      </c>
      <c r="T151" s="105" t="str">
        <f>OB_Act[[#This Row],[Day]]&amp;OB_Act[[#This Row],[Dump Truck]]&amp;OB_Act[[#This Row],[Contractor]]&amp;OB_Act[[#This Row],[Excavator]]&amp;OB_Act[[#This Row],[Shift]]</f>
        <v/>
      </c>
      <c r="U151" s="126">
        <f>1/COUNTIF(OB_Act[Dummy_DT/Exc],OB_Act[[#This Row],[Dummy_DT/Exc]])</f>
        <v>4.1841004184100415E-3</v>
      </c>
      <c r="V151" s="126" t="e">
        <f>VLOOKUP(OB_Act[[#This Row],[Day]],$AO$2:$AR$32,4,0)</f>
        <v>#N/A</v>
      </c>
      <c r="W151" s="126" t="e">
        <f>VLOOKUP(OB_Act[[#This Row],[Dump Area]],$AE$2:$AF$51,2,0)</f>
        <v>#N/A</v>
      </c>
      <c r="X151" s="126" t="str">
        <f>OB_Act[[#This Row],[Excavator]]&amp;OB_Act[[#This Row],[Contractor]]</f>
        <v/>
      </c>
      <c r="Y151" s="126" t="e">
        <f>IF(OB_Act[[#This Row],[Material]]="MUD",VLOOKUP(OB_Act[[#This Row],[Dump Truck]],Type_mud[[Nama DT]:[Type]],2,0),VLOOKUP(OB_Act[[#This Row],[Dump Truck]],Type_DT_OB[[Nama DT]:[Type]],4,0))</f>
        <v>#N/A</v>
      </c>
      <c r="Z151" s="126" t="e">
        <f>"JBG-OP1-CENTRAL-"&amp;VLOOKUP(OB_Act[[#This Row],[Pit]],$AK$2:$AL$9,2,0)&amp;"-WASTE-"&amp;OB_Act[[#This Row],[Material]]</f>
        <v>#N/A</v>
      </c>
      <c r="AA151" s="126" t="e">
        <f>"JBG-DUMP1-"&amp;VLOOKUP(OB_Act[[#This Row],[Dump]],$AF$2:$AG$55,2,0)&amp;"-"&amp;OB_Act[[#This Row],[Material]]</f>
        <v>#N/A</v>
      </c>
      <c r="AB151" s="126" t="str">
        <f>"JBG-"&amp;OB_Act[[#This Row],[Material]]</f>
        <v>JBG-</v>
      </c>
      <c r="BD151" s="105" t="str">
        <f>RIGHT(Type_DT_OB[[#This Row],[Nama DT]],4)</f>
        <v>1021</v>
      </c>
      <c r="BE151" s="105" t="s">
        <v>528</v>
      </c>
      <c r="BF151" s="105">
        <v>15</v>
      </c>
      <c r="BG151" s="105">
        <v>14</v>
      </c>
      <c r="BH151" s="105" t="s">
        <v>508</v>
      </c>
      <c r="BI151" s="105" t="s">
        <v>438</v>
      </c>
      <c r="BK151" s="105" t="str">
        <f>RIGHT(Type_mud[[#This Row],[Nama DT]],4)</f>
        <v>1021</v>
      </c>
      <c r="BL151" s="105" t="s">
        <v>528</v>
      </c>
      <c r="BM151" s="105" t="s">
        <v>657</v>
      </c>
    </row>
    <row r="152" spans="13:65">
      <c r="M152" s="105">
        <f>OB_Act[[#This Row],[Volume (BCM)]]*OB_Act[[#This Row],[Distance (Meter)]]</f>
        <v>0</v>
      </c>
      <c r="N152" s="105" t="str">
        <f>LEFT(OB_Act[[#This Row],[Dump Truck]],3)</f>
        <v/>
      </c>
      <c r="O152" s="126" t="str">
        <f>OB_Act[[#This Row],[Day]]&amp;OB_Act[[#This Row],[Excavator]]&amp;OB_Act[[#This Row],[Contractor]]&amp;OB_Act[[#This Row],[Pit]]&amp;OB_Act[[#This Row],[Shift]]</f>
        <v/>
      </c>
      <c r="P152" s="126">
        <f>1/COUNTIF(OB_Act[Dummy_Exc],OB_Act[[#This Row],[Dummy_Exc]])</f>
        <v>4.1841004184100415E-3</v>
      </c>
      <c r="Q152" s="105" t="str">
        <f>OB_Act[[#This Row],[Day]]&amp;OB_Act[[#This Row],[Dump Truck]]&amp;OB_Act[[#This Row],[Pit]]&amp;OB_Act[[#This Row],[Shift]]</f>
        <v/>
      </c>
      <c r="R152" s="126">
        <f>1/COUNTIF(OB_Act[Dummy_DT],OB_Act[[#This Row],[Dummy_DT]])</f>
        <v>4.1841004184100415E-3</v>
      </c>
      <c r="S152" s="126">
        <f>OB_Act[[#This Row],[Distance (Meter)]]*OB_Act[[#This Row],[Volume (BCM)]]</f>
        <v>0</v>
      </c>
      <c r="T152" s="105" t="str">
        <f>OB_Act[[#This Row],[Day]]&amp;OB_Act[[#This Row],[Dump Truck]]&amp;OB_Act[[#This Row],[Contractor]]&amp;OB_Act[[#This Row],[Excavator]]&amp;OB_Act[[#This Row],[Shift]]</f>
        <v/>
      </c>
      <c r="U152" s="126">
        <f>1/COUNTIF(OB_Act[Dummy_DT/Exc],OB_Act[[#This Row],[Dummy_DT/Exc]])</f>
        <v>4.1841004184100415E-3</v>
      </c>
      <c r="V152" s="126" t="e">
        <f>VLOOKUP(OB_Act[[#This Row],[Day]],$AO$2:$AR$32,4,0)</f>
        <v>#N/A</v>
      </c>
      <c r="W152" s="126" t="e">
        <f>VLOOKUP(OB_Act[[#This Row],[Dump Area]],$AE$2:$AF$51,2,0)</f>
        <v>#N/A</v>
      </c>
      <c r="X152" s="126" t="str">
        <f>OB_Act[[#This Row],[Excavator]]&amp;OB_Act[[#This Row],[Contractor]]</f>
        <v/>
      </c>
      <c r="Y152" s="126" t="e">
        <f>IF(OB_Act[[#This Row],[Material]]="MUD",VLOOKUP(OB_Act[[#This Row],[Dump Truck]],Type_mud[[Nama DT]:[Type]],2,0),VLOOKUP(OB_Act[[#This Row],[Dump Truck]],Type_DT_OB[[Nama DT]:[Type]],4,0))</f>
        <v>#N/A</v>
      </c>
      <c r="Z152" s="126" t="e">
        <f>"JBG-OP1-CENTRAL-"&amp;VLOOKUP(OB_Act[[#This Row],[Pit]],$AK$2:$AL$9,2,0)&amp;"-WASTE-"&amp;OB_Act[[#This Row],[Material]]</f>
        <v>#N/A</v>
      </c>
      <c r="AA152" s="126" t="e">
        <f>"JBG-DUMP1-"&amp;VLOOKUP(OB_Act[[#This Row],[Dump]],$AF$2:$AG$55,2,0)&amp;"-"&amp;OB_Act[[#This Row],[Material]]</f>
        <v>#N/A</v>
      </c>
      <c r="AB152" s="126" t="str">
        <f>"JBG-"&amp;OB_Act[[#This Row],[Material]]</f>
        <v>JBG-</v>
      </c>
      <c r="BD152" s="105" t="str">
        <f>RIGHT(Type_DT_OB[[#This Row],[Nama DT]],4)</f>
        <v>1022</v>
      </c>
      <c r="BE152" s="105" t="s">
        <v>529</v>
      </c>
      <c r="BF152" s="105">
        <v>15</v>
      </c>
      <c r="BG152" s="105">
        <v>14</v>
      </c>
      <c r="BH152" s="105" t="s">
        <v>508</v>
      </c>
      <c r="BI152" s="105" t="s">
        <v>438</v>
      </c>
      <c r="BK152" s="105" t="str">
        <f>RIGHT(Type_mud[[#This Row],[Nama DT]],4)</f>
        <v>1022</v>
      </c>
      <c r="BL152" s="105" t="s">
        <v>529</v>
      </c>
      <c r="BM152" s="105" t="s">
        <v>657</v>
      </c>
    </row>
    <row r="153" spans="13:65">
      <c r="M153" s="105">
        <f>OB_Act[[#This Row],[Volume (BCM)]]*OB_Act[[#This Row],[Distance (Meter)]]</f>
        <v>0</v>
      </c>
      <c r="N153" s="105" t="str">
        <f>LEFT(OB_Act[[#This Row],[Dump Truck]],3)</f>
        <v/>
      </c>
      <c r="O153" s="126" t="str">
        <f>OB_Act[[#This Row],[Day]]&amp;OB_Act[[#This Row],[Excavator]]&amp;OB_Act[[#This Row],[Contractor]]&amp;OB_Act[[#This Row],[Pit]]&amp;OB_Act[[#This Row],[Shift]]</f>
        <v/>
      </c>
      <c r="P153" s="126">
        <f>1/COUNTIF(OB_Act[Dummy_Exc],OB_Act[[#This Row],[Dummy_Exc]])</f>
        <v>4.1841004184100415E-3</v>
      </c>
      <c r="Q153" s="105" t="str">
        <f>OB_Act[[#This Row],[Day]]&amp;OB_Act[[#This Row],[Dump Truck]]&amp;OB_Act[[#This Row],[Pit]]&amp;OB_Act[[#This Row],[Shift]]</f>
        <v/>
      </c>
      <c r="R153" s="126">
        <f>1/COUNTIF(OB_Act[Dummy_DT],OB_Act[[#This Row],[Dummy_DT]])</f>
        <v>4.1841004184100415E-3</v>
      </c>
      <c r="S153" s="126">
        <f>OB_Act[[#This Row],[Distance (Meter)]]*OB_Act[[#This Row],[Volume (BCM)]]</f>
        <v>0</v>
      </c>
      <c r="T153" s="105" t="str">
        <f>OB_Act[[#This Row],[Day]]&amp;OB_Act[[#This Row],[Dump Truck]]&amp;OB_Act[[#This Row],[Contractor]]&amp;OB_Act[[#This Row],[Excavator]]&amp;OB_Act[[#This Row],[Shift]]</f>
        <v/>
      </c>
      <c r="U153" s="126">
        <f>1/COUNTIF(OB_Act[Dummy_DT/Exc],OB_Act[[#This Row],[Dummy_DT/Exc]])</f>
        <v>4.1841004184100415E-3</v>
      </c>
      <c r="V153" s="126" t="e">
        <f>VLOOKUP(OB_Act[[#This Row],[Day]],$AO$2:$AR$32,4,0)</f>
        <v>#N/A</v>
      </c>
      <c r="W153" s="126" t="e">
        <f>VLOOKUP(OB_Act[[#This Row],[Dump Area]],$AE$2:$AF$51,2,0)</f>
        <v>#N/A</v>
      </c>
      <c r="X153" s="126" t="str">
        <f>OB_Act[[#This Row],[Excavator]]&amp;OB_Act[[#This Row],[Contractor]]</f>
        <v/>
      </c>
      <c r="Y153" s="126" t="e">
        <f>IF(OB_Act[[#This Row],[Material]]="MUD",VLOOKUP(OB_Act[[#This Row],[Dump Truck]],Type_mud[[Nama DT]:[Type]],2,0),VLOOKUP(OB_Act[[#This Row],[Dump Truck]],Type_DT_OB[[Nama DT]:[Type]],4,0))</f>
        <v>#N/A</v>
      </c>
      <c r="Z153" s="126" t="e">
        <f>"JBG-OP1-CENTRAL-"&amp;VLOOKUP(OB_Act[[#This Row],[Pit]],$AK$2:$AL$9,2,0)&amp;"-WASTE-"&amp;OB_Act[[#This Row],[Material]]</f>
        <v>#N/A</v>
      </c>
      <c r="AA153" s="126" t="e">
        <f>"JBG-DUMP1-"&amp;VLOOKUP(OB_Act[[#This Row],[Dump]],$AF$2:$AG$55,2,0)&amp;"-"&amp;OB_Act[[#This Row],[Material]]</f>
        <v>#N/A</v>
      </c>
      <c r="AB153" s="126" t="str">
        <f>"JBG-"&amp;OB_Act[[#This Row],[Material]]</f>
        <v>JBG-</v>
      </c>
      <c r="BD153" s="105" t="str">
        <f>RIGHT(Type_DT_OB[[#This Row],[Nama DT]],4)</f>
        <v>1023</v>
      </c>
      <c r="BE153" s="105" t="s">
        <v>530</v>
      </c>
      <c r="BF153" s="105">
        <v>15</v>
      </c>
      <c r="BG153" s="105">
        <v>14</v>
      </c>
      <c r="BH153" s="105" t="s">
        <v>508</v>
      </c>
      <c r="BI153" s="105" t="s">
        <v>438</v>
      </c>
      <c r="BK153" s="105" t="str">
        <f>RIGHT(Type_mud[[#This Row],[Nama DT]],4)</f>
        <v>1023</v>
      </c>
      <c r="BL153" s="105" t="s">
        <v>530</v>
      </c>
      <c r="BM153" s="105" t="s">
        <v>657</v>
      </c>
    </row>
    <row r="154" spans="13:65">
      <c r="M154" s="105">
        <f>OB_Act[[#This Row],[Volume (BCM)]]*OB_Act[[#This Row],[Distance (Meter)]]</f>
        <v>0</v>
      </c>
      <c r="N154" s="105" t="str">
        <f>LEFT(OB_Act[[#This Row],[Dump Truck]],3)</f>
        <v/>
      </c>
      <c r="O154" s="126" t="str">
        <f>OB_Act[[#This Row],[Day]]&amp;OB_Act[[#This Row],[Excavator]]&amp;OB_Act[[#This Row],[Contractor]]&amp;OB_Act[[#This Row],[Pit]]&amp;OB_Act[[#This Row],[Shift]]</f>
        <v/>
      </c>
      <c r="P154" s="126">
        <f>1/COUNTIF(OB_Act[Dummy_Exc],OB_Act[[#This Row],[Dummy_Exc]])</f>
        <v>4.1841004184100415E-3</v>
      </c>
      <c r="Q154" s="105" t="str">
        <f>OB_Act[[#This Row],[Day]]&amp;OB_Act[[#This Row],[Dump Truck]]&amp;OB_Act[[#This Row],[Pit]]&amp;OB_Act[[#This Row],[Shift]]</f>
        <v/>
      </c>
      <c r="R154" s="126">
        <f>1/COUNTIF(OB_Act[Dummy_DT],OB_Act[[#This Row],[Dummy_DT]])</f>
        <v>4.1841004184100415E-3</v>
      </c>
      <c r="S154" s="126">
        <f>OB_Act[[#This Row],[Distance (Meter)]]*OB_Act[[#This Row],[Volume (BCM)]]</f>
        <v>0</v>
      </c>
      <c r="T154" s="105" t="str">
        <f>OB_Act[[#This Row],[Day]]&amp;OB_Act[[#This Row],[Dump Truck]]&amp;OB_Act[[#This Row],[Contractor]]&amp;OB_Act[[#This Row],[Excavator]]&amp;OB_Act[[#This Row],[Shift]]</f>
        <v/>
      </c>
      <c r="U154" s="126">
        <f>1/COUNTIF(OB_Act[Dummy_DT/Exc],OB_Act[[#This Row],[Dummy_DT/Exc]])</f>
        <v>4.1841004184100415E-3</v>
      </c>
      <c r="V154" s="126" t="e">
        <f>VLOOKUP(OB_Act[[#This Row],[Day]],$AO$2:$AR$32,4,0)</f>
        <v>#N/A</v>
      </c>
      <c r="W154" s="126" t="e">
        <f>VLOOKUP(OB_Act[[#This Row],[Dump Area]],$AE$2:$AF$51,2,0)</f>
        <v>#N/A</v>
      </c>
      <c r="X154" s="126" t="str">
        <f>OB_Act[[#This Row],[Excavator]]&amp;OB_Act[[#This Row],[Contractor]]</f>
        <v/>
      </c>
      <c r="Y154" s="126" t="e">
        <f>IF(OB_Act[[#This Row],[Material]]="MUD",VLOOKUP(OB_Act[[#This Row],[Dump Truck]],Type_mud[[Nama DT]:[Type]],2,0),VLOOKUP(OB_Act[[#This Row],[Dump Truck]],Type_DT_OB[[Nama DT]:[Type]],4,0))</f>
        <v>#N/A</v>
      </c>
      <c r="Z154" s="126" t="e">
        <f>"JBG-OP1-CENTRAL-"&amp;VLOOKUP(OB_Act[[#This Row],[Pit]],$AK$2:$AL$9,2,0)&amp;"-WASTE-"&amp;OB_Act[[#This Row],[Material]]</f>
        <v>#N/A</v>
      </c>
      <c r="AA154" s="126" t="e">
        <f>"JBG-DUMP1-"&amp;VLOOKUP(OB_Act[[#This Row],[Dump]],$AF$2:$AG$55,2,0)&amp;"-"&amp;OB_Act[[#This Row],[Material]]</f>
        <v>#N/A</v>
      </c>
      <c r="AB154" s="126" t="str">
        <f>"JBG-"&amp;OB_Act[[#This Row],[Material]]</f>
        <v>JBG-</v>
      </c>
      <c r="BD154" s="105" t="str">
        <f>RIGHT(Type_DT_OB[[#This Row],[Nama DT]],4)</f>
        <v>1024</v>
      </c>
      <c r="BE154" s="105" t="s">
        <v>531</v>
      </c>
      <c r="BF154" s="105">
        <v>15</v>
      </c>
      <c r="BG154" s="105">
        <v>14</v>
      </c>
      <c r="BH154" s="105" t="s">
        <v>508</v>
      </c>
      <c r="BI154" s="105" t="s">
        <v>438</v>
      </c>
      <c r="BK154" s="105" t="str">
        <f>RIGHT(Type_mud[[#This Row],[Nama DT]],4)</f>
        <v>1024</v>
      </c>
      <c r="BL154" s="105" t="s">
        <v>531</v>
      </c>
      <c r="BM154" s="105" t="s">
        <v>657</v>
      </c>
    </row>
    <row r="155" spans="13:65">
      <c r="M155" s="105">
        <f>OB_Act[[#This Row],[Volume (BCM)]]*OB_Act[[#This Row],[Distance (Meter)]]</f>
        <v>0</v>
      </c>
      <c r="N155" s="105" t="str">
        <f>LEFT(OB_Act[[#This Row],[Dump Truck]],3)</f>
        <v/>
      </c>
      <c r="O155" s="126" t="str">
        <f>OB_Act[[#This Row],[Day]]&amp;OB_Act[[#This Row],[Excavator]]&amp;OB_Act[[#This Row],[Contractor]]&amp;OB_Act[[#This Row],[Pit]]&amp;OB_Act[[#This Row],[Shift]]</f>
        <v/>
      </c>
      <c r="P155" s="126">
        <f>1/COUNTIF(OB_Act[Dummy_Exc],OB_Act[[#This Row],[Dummy_Exc]])</f>
        <v>4.1841004184100415E-3</v>
      </c>
      <c r="Q155" s="105" t="str">
        <f>OB_Act[[#This Row],[Day]]&amp;OB_Act[[#This Row],[Dump Truck]]&amp;OB_Act[[#This Row],[Pit]]&amp;OB_Act[[#This Row],[Shift]]</f>
        <v/>
      </c>
      <c r="R155" s="126">
        <f>1/COUNTIF(OB_Act[Dummy_DT],OB_Act[[#This Row],[Dummy_DT]])</f>
        <v>4.1841004184100415E-3</v>
      </c>
      <c r="S155" s="126">
        <f>OB_Act[[#This Row],[Distance (Meter)]]*OB_Act[[#This Row],[Volume (BCM)]]</f>
        <v>0</v>
      </c>
      <c r="T155" s="105" t="str">
        <f>OB_Act[[#This Row],[Day]]&amp;OB_Act[[#This Row],[Dump Truck]]&amp;OB_Act[[#This Row],[Contractor]]&amp;OB_Act[[#This Row],[Excavator]]&amp;OB_Act[[#This Row],[Shift]]</f>
        <v/>
      </c>
      <c r="U155" s="126">
        <f>1/COUNTIF(OB_Act[Dummy_DT/Exc],OB_Act[[#This Row],[Dummy_DT/Exc]])</f>
        <v>4.1841004184100415E-3</v>
      </c>
      <c r="V155" s="126" t="e">
        <f>VLOOKUP(OB_Act[[#This Row],[Day]],$AO$2:$AR$32,4,0)</f>
        <v>#N/A</v>
      </c>
      <c r="W155" s="126" t="e">
        <f>VLOOKUP(OB_Act[[#This Row],[Dump Area]],$AE$2:$AF$51,2,0)</f>
        <v>#N/A</v>
      </c>
      <c r="X155" s="126" t="str">
        <f>OB_Act[[#This Row],[Excavator]]&amp;OB_Act[[#This Row],[Contractor]]</f>
        <v/>
      </c>
      <c r="Y155" s="126" t="e">
        <f>IF(OB_Act[[#This Row],[Material]]="MUD",VLOOKUP(OB_Act[[#This Row],[Dump Truck]],Type_mud[[Nama DT]:[Type]],2,0),VLOOKUP(OB_Act[[#This Row],[Dump Truck]],Type_DT_OB[[Nama DT]:[Type]],4,0))</f>
        <v>#N/A</v>
      </c>
      <c r="Z155" s="126" t="e">
        <f>"JBG-OP1-CENTRAL-"&amp;VLOOKUP(OB_Act[[#This Row],[Pit]],$AK$2:$AL$9,2,0)&amp;"-WASTE-"&amp;OB_Act[[#This Row],[Material]]</f>
        <v>#N/A</v>
      </c>
      <c r="AA155" s="126" t="e">
        <f>"JBG-DUMP1-"&amp;VLOOKUP(OB_Act[[#This Row],[Dump]],$AF$2:$AG$55,2,0)&amp;"-"&amp;OB_Act[[#This Row],[Material]]</f>
        <v>#N/A</v>
      </c>
      <c r="AB155" s="126" t="str">
        <f>"JBG-"&amp;OB_Act[[#This Row],[Material]]</f>
        <v>JBG-</v>
      </c>
      <c r="BD155" s="105" t="str">
        <f>RIGHT(Type_DT_OB[[#This Row],[Nama DT]],4)</f>
        <v>1025</v>
      </c>
      <c r="BE155" s="105" t="s">
        <v>532</v>
      </c>
      <c r="BF155" s="105">
        <v>15</v>
      </c>
      <c r="BG155" s="105">
        <v>14</v>
      </c>
      <c r="BH155" s="105" t="s">
        <v>508</v>
      </c>
      <c r="BI155" s="105" t="s">
        <v>438</v>
      </c>
      <c r="BK155" s="105" t="str">
        <f>RIGHT(Type_mud[[#This Row],[Nama DT]],4)</f>
        <v>1025</v>
      </c>
      <c r="BL155" s="105" t="s">
        <v>532</v>
      </c>
      <c r="BM155" s="105" t="s">
        <v>657</v>
      </c>
    </row>
    <row r="156" spans="13:65">
      <c r="M156" s="105">
        <f>OB_Act[[#This Row],[Volume (BCM)]]*OB_Act[[#This Row],[Distance (Meter)]]</f>
        <v>0</v>
      </c>
      <c r="N156" s="105" t="str">
        <f>LEFT(OB_Act[[#This Row],[Dump Truck]],3)</f>
        <v/>
      </c>
      <c r="O156" s="126" t="str">
        <f>OB_Act[[#This Row],[Day]]&amp;OB_Act[[#This Row],[Excavator]]&amp;OB_Act[[#This Row],[Contractor]]&amp;OB_Act[[#This Row],[Pit]]&amp;OB_Act[[#This Row],[Shift]]</f>
        <v/>
      </c>
      <c r="P156" s="126">
        <f>1/COUNTIF(OB_Act[Dummy_Exc],OB_Act[[#This Row],[Dummy_Exc]])</f>
        <v>4.1841004184100415E-3</v>
      </c>
      <c r="Q156" s="105" t="str">
        <f>OB_Act[[#This Row],[Day]]&amp;OB_Act[[#This Row],[Dump Truck]]&amp;OB_Act[[#This Row],[Pit]]&amp;OB_Act[[#This Row],[Shift]]</f>
        <v/>
      </c>
      <c r="R156" s="126">
        <f>1/COUNTIF(OB_Act[Dummy_DT],OB_Act[[#This Row],[Dummy_DT]])</f>
        <v>4.1841004184100415E-3</v>
      </c>
      <c r="S156" s="126">
        <f>OB_Act[[#This Row],[Distance (Meter)]]*OB_Act[[#This Row],[Volume (BCM)]]</f>
        <v>0</v>
      </c>
      <c r="T156" s="105" t="str">
        <f>OB_Act[[#This Row],[Day]]&amp;OB_Act[[#This Row],[Dump Truck]]&amp;OB_Act[[#This Row],[Contractor]]&amp;OB_Act[[#This Row],[Excavator]]&amp;OB_Act[[#This Row],[Shift]]</f>
        <v/>
      </c>
      <c r="U156" s="126">
        <f>1/COUNTIF(OB_Act[Dummy_DT/Exc],OB_Act[[#This Row],[Dummy_DT/Exc]])</f>
        <v>4.1841004184100415E-3</v>
      </c>
      <c r="V156" s="126" t="e">
        <f>VLOOKUP(OB_Act[[#This Row],[Day]],$AO$2:$AR$32,4,0)</f>
        <v>#N/A</v>
      </c>
      <c r="W156" s="126" t="e">
        <f>VLOOKUP(OB_Act[[#This Row],[Dump Area]],$AE$2:$AF$51,2,0)</f>
        <v>#N/A</v>
      </c>
      <c r="X156" s="126" t="str">
        <f>OB_Act[[#This Row],[Excavator]]&amp;OB_Act[[#This Row],[Contractor]]</f>
        <v/>
      </c>
      <c r="Y156" s="126" t="e">
        <f>IF(OB_Act[[#This Row],[Material]]="MUD",VLOOKUP(OB_Act[[#This Row],[Dump Truck]],Type_mud[[Nama DT]:[Type]],2,0),VLOOKUP(OB_Act[[#This Row],[Dump Truck]],Type_DT_OB[[Nama DT]:[Type]],4,0))</f>
        <v>#N/A</v>
      </c>
      <c r="Z156" s="126" t="e">
        <f>"JBG-OP1-CENTRAL-"&amp;VLOOKUP(OB_Act[[#This Row],[Pit]],$AK$2:$AL$9,2,0)&amp;"-WASTE-"&amp;OB_Act[[#This Row],[Material]]</f>
        <v>#N/A</v>
      </c>
      <c r="AA156" s="126" t="e">
        <f>"JBG-DUMP1-"&amp;VLOOKUP(OB_Act[[#This Row],[Dump]],$AF$2:$AG$55,2,0)&amp;"-"&amp;OB_Act[[#This Row],[Material]]</f>
        <v>#N/A</v>
      </c>
      <c r="AB156" s="126" t="str">
        <f>"JBG-"&amp;OB_Act[[#This Row],[Material]]</f>
        <v>JBG-</v>
      </c>
      <c r="BD156" s="105" t="str">
        <f>RIGHT(Type_DT_OB[[#This Row],[Nama DT]],4)</f>
        <v>1026</v>
      </c>
      <c r="BE156" s="105" t="s">
        <v>533</v>
      </c>
      <c r="BF156" s="105">
        <v>15</v>
      </c>
      <c r="BG156" s="105">
        <v>14</v>
      </c>
      <c r="BH156" s="105" t="s">
        <v>508</v>
      </c>
      <c r="BI156" s="105" t="s">
        <v>438</v>
      </c>
      <c r="BK156" s="105" t="str">
        <f>RIGHT(Type_mud[[#This Row],[Nama DT]],4)</f>
        <v>1026</v>
      </c>
      <c r="BL156" s="105" t="s">
        <v>533</v>
      </c>
      <c r="BM156" s="105" t="s">
        <v>657</v>
      </c>
    </row>
    <row r="157" spans="13:65">
      <c r="M157" s="105">
        <f>OB_Act[[#This Row],[Volume (BCM)]]*OB_Act[[#This Row],[Distance (Meter)]]</f>
        <v>0</v>
      </c>
      <c r="N157" s="105" t="str">
        <f>LEFT(OB_Act[[#This Row],[Dump Truck]],3)</f>
        <v/>
      </c>
      <c r="O157" s="126" t="str">
        <f>OB_Act[[#This Row],[Day]]&amp;OB_Act[[#This Row],[Excavator]]&amp;OB_Act[[#This Row],[Contractor]]&amp;OB_Act[[#This Row],[Pit]]&amp;OB_Act[[#This Row],[Shift]]</f>
        <v/>
      </c>
      <c r="P157" s="126">
        <f>1/COUNTIF(OB_Act[Dummy_Exc],OB_Act[[#This Row],[Dummy_Exc]])</f>
        <v>4.1841004184100415E-3</v>
      </c>
      <c r="Q157" s="105" t="str">
        <f>OB_Act[[#This Row],[Day]]&amp;OB_Act[[#This Row],[Dump Truck]]&amp;OB_Act[[#This Row],[Pit]]&amp;OB_Act[[#This Row],[Shift]]</f>
        <v/>
      </c>
      <c r="R157" s="126">
        <f>1/COUNTIF(OB_Act[Dummy_DT],OB_Act[[#This Row],[Dummy_DT]])</f>
        <v>4.1841004184100415E-3</v>
      </c>
      <c r="S157" s="126">
        <f>OB_Act[[#This Row],[Distance (Meter)]]*OB_Act[[#This Row],[Volume (BCM)]]</f>
        <v>0</v>
      </c>
      <c r="T157" s="105" t="str">
        <f>OB_Act[[#This Row],[Day]]&amp;OB_Act[[#This Row],[Dump Truck]]&amp;OB_Act[[#This Row],[Contractor]]&amp;OB_Act[[#This Row],[Excavator]]&amp;OB_Act[[#This Row],[Shift]]</f>
        <v/>
      </c>
      <c r="U157" s="126">
        <f>1/COUNTIF(OB_Act[Dummy_DT/Exc],OB_Act[[#This Row],[Dummy_DT/Exc]])</f>
        <v>4.1841004184100415E-3</v>
      </c>
      <c r="V157" s="126" t="e">
        <f>VLOOKUP(OB_Act[[#This Row],[Day]],$AO$2:$AR$32,4,0)</f>
        <v>#N/A</v>
      </c>
      <c r="W157" s="126" t="e">
        <f>VLOOKUP(OB_Act[[#This Row],[Dump Area]],$AE$2:$AF$51,2,0)</f>
        <v>#N/A</v>
      </c>
      <c r="X157" s="126" t="str">
        <f>OB_Act[[#This Row],[Excavator]]&amp;OB_Act[[#This Row],[Contractor]]</f>
        <v/>
      </c>
      <c r="Y157" s="126" t="e">
        <f>IF(OB_Act[[#This Row],[Material]]="MUD",VLOOKUP(OB_Act[[#This Row],[Dump Truck]],Type_mud[[Nama DT]:[Type]],2,0),VLOOKUP(OB_Act[[#This Row],[Dump Truck]],Type_DT_OB[[Nama DT]:[Type]],4,0))</f>
        <v>#N/A</v>
      </c>
      <c r="Z157" s="126" t="e">
        <f>"JBG-OP1-CENTRAL-"&amp;VLOOKUP(OB_Act[[#This Row],[Pit]],$AK$2:$AL$9,2,0)&amp;"-WASTE-"&amp;OB_Act[[#This Row],[Material]]</f>
        <v>#N/A</v>
      </c>
      <c r="AA157" s="126" t="e">
        <f>"JBG-DUMP1-"&amp;VLOOKUP(OB_Act[[#This Row],[Dump]],$AF$2:$AG$55,2,0)&amp;"-"&amp;OB_Act[[#This Row],[Material]]</f>
        <v>#N/A</v>
      </c>
      <c r="AB157" s="126" t="str">
        <f>"JBG-"&amp;OB_Act[[#This Row],[Material]]</f>
        <v>JBG-</v>
      </c>
      <c r="BD157" s="105" t="str">
        <f>RIGHT(Type_DT_OB[[#This Row],[Nama DT]],4)</f>
        <v>1027</v>
      </c>
      <c r="BE157" s="105" t="s">
        <v>534</v>
      </c>
      <c r="BF157" s="105">
        <v>15</v>
      </c>
      <c r="BG157" s="105">
        <v>14</v>
      </c>
      <c r="BH157" s="105" t="s">
        <v>508</v>
      </c>
      <c r="BI157" s="105" t="s">
        <v>438</v>
      </c>
      <c r="BK157" s="105" t="str">
        <f>RIGHT(Type_mud[[#This Row],[Nama DT]],4)</f>
        <v>1027</v>
      </c>
      <c r="BL157" s="105" t="s">
        <v>534</v>
      </c>
      <c r="BM157" s="105" t="s">
        <v>657</v>
      </c>
    </row>
    <row r="158" spans="13:65">
      <c r="M158" s="105">
        <f>OB_Act[[#This Row],[Volume (BCM)]]*OB_Act[[#This Row],[Distance (Meter)]]</f>
        <v>0</v>
      </c>
      <c r="N158" s="105" t="str">
        <f>LEFT(OB_Act[[#This Row],[Dump Truck]],3)</f>
        <v/>
      </c>
      <c r="O158" s="126" t="str">
        <f>OB_Act[[#This Row],[Day]]&amp;OB_Act[[#This Row],[Excavator]]&amp;OB_Act[[#This Row],[Contractor]]&amp;OB_Act[[#This Row],[Pit]]&amp;OB_Act[[#This Row],[Shift]]</f>
        <v/>
      </c>
      <c r="P158" s="126">
        <f>1/COUNTIF(OB_Act[Dummy_Exc],OB_Act[[#This Row],[Dummy_Exc]])</f>
        <v>4.1841004184100415E-3</v>
      </c>
      <c r="Q158" s="105" t="str">
        <f>OB_Act[[#This Row],[Day]]&amp;OB_Act[[#This Row],[Dump Truck]]&amp;OB_Act[[#This Row],[Pit]]&amp;OB_Act[[#This Row],[Shift]]</f>
        <v/>
      </c>
      <c r="R158" s="126">
        <f>1/COUNTIF(OB_Act[Dummy_DT],OB_Act[[#This Row],[Dummy_DT]])</f>
        <v>4.1841004184100415E-3</v>
      </c>
      <c r="S158" s="126">
        <f>OB_Act[[#This Row],[Distance (Meter)]]*OB_Act[[#This Row],[Volume (BCM)]]</f>
        <v>0</v>
      </c>
      <c r="T158" s="105" t="str">
        <f>OB_Act[[#This Row],[Day]]&amp;OB_Act[[#This Row],[Dump Truck]]&amp;OB_Act[[#This Row],[Contractor]]&amp;OB_Act[[#This Row],[Excavator]]&amp;OB_Act[[#This Row],[Shift]]</f>
        <v/>
      </c>
      <c r="U158" s="126">
        <f>1/COUNTIF(OB_Act[Dummy_DT/Exc],OB_Act[[#This Row],[Dummy_DT/Exc]])</f>
        <v>4.1841004184100415E-3</v>
      </c>
      <c r="V158" s="126" t="e">
        <f>VLOOKUP(OB_Act[[#This Row],[Day]],$AO$2:$AR$32,4,0)</f>
        <v>#N/A</v>
      </c>
      <c r="W158" s="126" t="e">
        <f>VLOOKUP(OB_Act[[#This Row],[Dump Area]],$AE$2:$AF$51,2,0)</f>
        <v>#N/A</v>
      </c>
      <c r="X158" s="126" t="str">
        <f>OB_Act[[#This Row],[Excavator]]&amp;OB_Act[[#This Row],[Contractor]]</f>
        <v/>
      </c>
      <c r="Y158" s="126" t="e">
        <f>IF(OB_Act[[#This Row],[Material]]="MUD",VLOOKUP(OB_Act[[#This Row],[Dump Truck]],Type_mud[[Nama DT]:[Type]],2,0),VLOOKUP(OB_Act[[#This Row],[Dump Truck]],Type_DT_OB[[Nama DT]:[Type]],4,0))</f>
        <v>#N/A</v>
      </c>
      <c r="Z158" s="126" t="e">
        <f>"JBG-OP1-CENTRAL-"&amp;VLOOKUP(OB_Act[[#This Row],[Pit]],$AK$2:$AL$9,2,0)&amp;"-WASTE-"&amp;OB_Act[[#This Row],[Material]]</f>
        <v>#N/A</v>
      </c>
      <c r="AA158" s="126" t="e">
        <f>"JBG-DUMP1-"&amp;VLOOKUP(OB_Act[[#This Row],[Dump]],$AF$2:$AG$55,2,0)&amp;"-"&amp;OB_Act[[#This Row],[Material]]</f>
        <v>#N/A</v>
      </c>
      <c r="AB158" s="126" t="str">
        <f>"JBG-"&amp;OB_Act[[#This Row],[Material]]</f>
        <v>JBG-</v>
      </c>
      <c r="BD158" s="105" t="str">
        <f>RIGHT(Type_DT_OB[[#This Row],[Nama DT]],4)</f>
        <v>1028</v>
      </c>
      <c r="BE158" s="105" t="s">
        <v>535</v>
      </c>
      <c r="BF158" s="105">
        <v>15</v>
      </c>
      <c r="BG158" s="105">
        <v>14</v>
      </c>
      <c r="BH158" s="105" t="s">
        <v>508</v>
      </c>
      <c r="BI158" s="105" t="s">
        <v>438</v>
      </c>
      <c r="BK158" s="105" t="str">
        <f>RIGHT(Type_mud[[#This Row],[Nama DT]],4)</f>
        <v>1028</v>
      </c>
      <c r="BL158" s="105" t="s">
        <v>535</v>
      </c>
      <c r="BM158" s="105" t="s">
        <v>657</v>
      </c>
    </row>
    <row r="159" spans="13:65">
      <c r="M159" s="105">
        <f>OB_Act[[#This Row],[Volume (BCM)]]*OB_Act[[#This Row],[Distance (Meter)]]</f>
        <v>0</v>
      </c>
      <c r="N159" s="105" t="str">
        <f>LEFT(OB_Act[[#This Row],[Dump Truck]],3)</f>
        <v/>
      </c>
      <c r="O159" s="126" t="str">
        <f>OB_Act[[#This Row],[Day]]&amp;OB_Act[[#This Row],[Excavator]]&amp;OB_Act[[#This Row],[Contractor]]&amp;OB_Act[[#This Row],[Pit]]&amp;OB_Act[[#This Row],[Shift]]</f>
        <v/>
      </c>
      <c r="P159" s="126">
        <f>1/COUNTIF(OB_Act[Dummy_Exc],OB_Act[[#This Row],[Dummy_Exc]])</f>
        <v>4.1841004184100415E-3</v>
      </c>
      <c r="Q159" s="105" t="str">
        <f>OB_Act[[#This Row],[Day]]&amp;OB_Act[[#This Row],[Dump Truck]]&amp;OB_Act[[#This Row],[Pit]]&amp;OB_Act[[#This Row],[Shift]]</f>
        <v/>
      </c>
      <c r="R159" s="126">
        <f>1/COUNTIF(OB_Act[Dummy_DT],OB_Act[[#This Row],[Dummy_DT]])</f>
        <v>4.1841004184100415E-3</v>
      </c>
      <c r="S159" s="126">
        <f>OB_Act[[#This Row],[Distance (Meter)]]*OB_Act[[#This Row],[Volume (BCM)]]</f>
        <v>0</v>
      </c>
      <c r="T159" s="105" t="str">
        <f>OB_Act[[#This Row],[Day]]&amp;OB_Act[[#This Row],[Dump Truck]]&amp;OB_Act[[#This Row],[Contractor]]&amp;OB_Act[[#This Row],[Excavator]]&amp;OB_Act[[#This Row],[Shift]]</f>
        <v/>
      </c>
      <c r="U159" s="126">
        <f>1/COUNTIF(OB_Act[Dummy_DT/Exc],OB_Act[[#This Row],[Dummy_DT/Exc]])</f>
        <v>4.1841004184100415E-3</v>
      </c>
      <c r="V159" s="126" t="e">
        <f>VLOOKUP(OB_Act[[#This Row],[Day]],$AO$2:$AR$32,4,0)</f>
        <v>#N/A</v>
      </c>
      <c r="W159" s="126" t="e">
        <f>VLOOKUP(OB_Act[[#This Row],[Dump Area]],$AE$2:$AF$51,2,0)</f>
        <v>#N/A</v>
      </c>
      <c r="X159" s="126" t="str">
        <f>OB_Act[[#This Row],[Excavator]]&amp;OB_Act[[#This Row],[Contractor]]</f>
        <v/>
      </c>
      <c r="Y159" s="126" t="e">
        <f>IF(OB_Act[[#This Row],[Material]]="MUD",VLOOKUP(OB_Act[[#This Row],[Dump Truck]],Type_mud[[Nama DT]:[Type]],2,0),VLOOKUP(OB_Act[[#This Row],[Dump Truck]],Type_DT_OB[[Nama DT]:[Type]],4,0))</f>
        <v>#N/A</v>
      </c>
      <c r="Z159" s="126" t="e">
        <f>"JBG-OP1-CENTRAL-"&amp;VLOOKUP(OB_Act[[#This Row],[Pit]],$AK$2:$AL$9,2,0)&amp;"-WASTE-"&amp;OB_Act[[#This Row],[Material]]</f>
        <v>#N/A</v>
      </c>
      <c r="AA159" s="126" t="e">
        <f>"JBG-DUMP1-"&amp;VLOOKUP(OB_Act[[#This Row],[Dump]],$AF$2:$AG$55,2,0)&amp;"-"&amp;OB_Act[[#This Row],[Material]]</f>
        <v>#N/A</v>
      </c>
      <c r="AB159" s="126" t="str">
        <f>"JBG-"&amp;OB_Act[[#This Row],[Material]]</f>
        <v>JBG-</v>
      </c>
      <c r="BD159" s="105" t="str">
        <f>RIGHT(Type_DT_OB[[#This Row],[Nama DT]],4)</f>
        <v>1029</v>
      </c>
      <c r="BE159" s="105" t="s">
        <v>536</v>
      </c>
      <c r="BF159" s="105">
        <v>15</v>
      </c>
      <c r="BG159" s="105">
        <v>14</v>
      </c>
      <c r="BH159" s="105" t="s">
        <v>508</v>
      </c>
      <c r="BI159" s="105" t="s">
        <v>438</v>
      </c>
      <c r="BK159" s="105" t="str">
        <f>RIGHT(Type_mud[[#This Row],[Nama DT]],4)</f>
        <v>1029</v>
      </c>
      <c r="BL159" s="105" t="s">
        <v>536</v>
      </c>
      <c r="BM159" s="105" t="s">
        <v>657</v>
      </c>
    </row>
    <row r="160" spans="13:65">
      <c r="M160" s="105">
        <f>OB_Act[[#This Row],[Volume (BCM)]]*OB_Act[[#This Row],[Distance (Meter)]]</f>
        <v>0</v>
      </c>
      <c r="N160" s="105" t="str">
        <f>LEFT(OB_Act[[#This Row],[Dump Truck]],3)</f>
        <v/>
      </c>
      <c r="O160" s="126" t="str">
        <f>OB_Act[[#This Row],[Day]]&amp;OB_Act[[#This Row],[Excavator]]&amp;OB_Act[[#This Row],[Contractor]]&amp;OB_Act[[#This Row],[Pit]]&amp;OB_Act[[#This Row],[Shift]]</f>
        <v/>
      </c>
      <c r="P160" s="126">
        <f>1/COUNTIF(OB_Act[Dummy_Exc],OB_Act[[#This Row],[Dummy_Exc]])</f>
        <v>4.1841004184100415E-3</v>
      </c>
      <c r="Q160" s="105" t="str">
        <f>OB_Act[[#This Row],[Day]]&amp;OB_Act[[#This Row],[Dump Truck]]&amp;OB_Act[[#This Row],[Pit]]&amp;OB_Act[[#This Row],[Shift]]</f>
        <v/>
      </c>
      <c r="R160" s="126">
        <f>1/COUNTIF(OB_Act[Dummy_DT],OB_Act[[#This Row],[Dummy_DT]])</f>
        <v>4.1841004184100415E-3</v>
      </c>
      <c r="S160" s="126">
        <f>OB_Act[[#This Row],[Distance (Meter)]]*OB_Act[[#This Row],[Volume (BCM)]]</f>
        <v>0</v>
      </c>
      <c r="T160" s="105" t="str">
        <f>OB_Act[[#This Row],[Day]]&amp;OB_Act[[#This Row],[Dump Truck]]&amp;OB_Act[[#This Row],[Contractor]]&amp;OB_Act[[#This Row],[Excavator]]&amp;OB_Act[[#This Row],[Shift]]</f>
        <v/>
      </c>
      <c r="U160" s="126">
        <f>1/COUNTIF(OB_Act[Dummy_DT/Exc],OB_Act[[#This Row],[Dummy_DT/Exc]])</f>
        <v>4.1841004184100415E-3</v>
      </c>
      <c r="V160" s="126" t="e">
        <f>VLOOKUP(OB_Act[[#This Row],[Day]],$AO$2:$AR$32,4,0)</f>
        <v>#N/A</v>
      </c>
      <c r="W160" s="126" t="e">
        <f>VLOOKUP(OB_Act[[#This Row],[Dump Area]],$AE$2:$AF$51,2,0)</f>
        <v>#N/A</v>
      </c>
      <c r="X160" s="126" t="str">
        <f>OB_Act[[#This Row],[Excavator]]&amp;OB_Act[[#This Row],[Contractor]]</f>
        <v/>
      </c>
      <c r="Y160" s="126" t="e">
        <f>IF(OB_Act[[#This Row],[Material]]="MUD",VLOOKUP(OB_Act[[#This Row],[Dump Truck]],Type_mud[[Nama DT]:[Type]],2,0),VLOOKUP(OB_Act[[#This Row],[Dump Truck]],Type_DT_OB[[Nama DT]:[Type]],4,0))</f>
        <v>#N/A</v>
      </c>
      <c r="Z160" s="126" t="e">
        <f>"JBG-OP1-CENTRAL-"&amp;VLOOKUP(OB_Act[[#This Row],[Pit]],$AK$2:$AL$9,2,0)&amp;"-WASTE-"&amp;OB_Act[[#This Row],[Material]]</f>
        <v>#N/A</v>
      </c>
      <c r="AA160" s="126" t="e">
        <f>"JBG-DUMP1-"&amp;VLOOKUP(OB_Act[[#This Row],[Dump]],$AF$2:$AG$55,2,0)&amp;"-"&amp;OB_Act[[#This Row],[Material]]</f>
        <v>#N/A</v>
      </c>
      <c r="AB160" s="126" t="str">
        <f>"JBG-"&amp;OB_Act[[#This Row],[Material]]</f>
        <v>JBG-</v>
      </c>
      <c r="BD160" s="105" t="str">
        <f>RIGHT(Type_DT_OB[[#This Row],[Nama DT]],4)</f>
        <v>1030</v>
      </c>
      <c r="BE160" s="105" t="s">
        <v>537</v>
      </c>
      <c r="BF160" s="105">
        <v>15</v>
      </c>
      <c r="BG160" s="105">
        <v>14</v>
      </c>
      <c r="BH160" s="105" t="s">
        <v>508</v>
      </c>
      <c r="BI160" s="105" t="s">
        <v>438</v>
      </c>
      <c r="BK160" s="105" t="str">
        <f>RIGHT(Type_mud[[#This Row],[Nama DT]],4)</f>
        <v>1030</v>
      </c>
      <c r="BL160" s="105" t="s">
        <v>537</v>
      </c>
      <c r="BM160" s="105" t="s">
        <v>657</v>
      </c>
    </row>
    <row r="161" spans="13:65">
      <c r="M161" s="105">
        <f>OB_Act[[#This Row],[Volume (BCM)]]*OB_Act[[#This Row],[Distance (Meter)]]</f>
        <v>0</v>
      </c>
      <c r="N161" s="105" t="str">
        <f>LEFT(OB_Act[[#This Row],[Dump Truck]],3)</f>
        <v/>
      </c>
      <c r="O161" s="126" t="str">
        <f>OB_Act[[#This Row],[Day]]&amp;OB_Act[[#This Row],[Excavator]]&amp;OB_Act[[#This Row],[Contractor]]&amp;OB_Act[[#This Row],[Pit]]&amp;OB_Act[[#This Row],[Shift]]</f>
        <v/>
      </c>
      <c r="P161" s="126">
        <f>1/COUNTIF(OB_Act[Dummy_Exc],OB_Act[[#This Row],[Dummy_Exc]])</f>
        <v>4.1841004184100415E-3</v>
      </c>
      <c r="Q161" s="105" t="str">
        <f>OB_Act[[#This Row],[Day]]&amp;OB_Act[[#This Row],[Dump Truck]]&amp;OB_Act[[#This Row],[Pit]]&amp;OB_Act[[#This Row],[Shift]]</f>
        <v/>
      </c>
      <c r="R161" s="126">
        <f>1/COUNTIF(OB_Act[Dummy_DT],OB_Act[[#This Row],[Dummy_DT]])</f>
        <v>4.1841004184100415E-3</v>
      </c>
      <c r="S161" s="126">
        <f>OB_Act[[#This Row],[Distance (Meter)]]*OB_Act[[#This Row],[Volume (BCM)]]</f>
        <v>0</v>
      </c>
      <c r="T161" s="105" t="str">
        <f>OB_Act[[#This Row],[Day]]&amp;OB_Act[[#This Row],[Dump Truck]]&amp;OB_Act[[#This Row],[Contractor]]&amp;OB_Act[[#This Row],[Excavator]]&amp;OB_Act[[#This Row],[Shift]]</f>
        <v/>
      </c>
      <c r="U161" s="126">
        <f>1/COUNTIF(OB_Act[Dummy_DT/Exc],OB_Act[[#This Row],[Dummy_DT/Exc]])</f>
        <v>4.1841004184100415E-3</v>
      </c>
      <c r="V161" s="126" t="e">
        <f>VLOOKUP(OB_Act[[#This Row],[Day]],$AO$2:$AR$32,4,0)</f>
        <v>#N/A</v>
      </c>
      <c r="W161" s="126" t="e">
        <f>VLOOKUP(OB_Act[[#This Row],[Dump Area]],$AE$2:$AF$51,2,0)</f>
        <v>#N/A</v>
      </c>
      <c r="X161" s="126" t="str">
        <f>OB_Act[[#This Row],[Excavator]]&amp;OB_Act[[#This Row],[Contractor]]</f>
        <v/>
      </c>
      <c r="Y161" s="126" t="e">
        <f>IF(OB_Act[[#This Row],[Material]]="MUD",VLOOKUP(OB_Act[[#This Row],[Dump Truck]],Type_mud[[Nama DT]:[Type]],2,0),VLOOKUP(OB_Act[[#This Row],[Dump Truck]],Type_DT_OB[[Nama DT]:[Type]],4,0))</f>
        <v>#N/A</v>
      </c>
      <c r="Z161" s="126" t="e">
        <f>"JBG-OP1-CENTRAL-"&amp;VLOOKUP(OB_Act[[#This Row],[Pit]],$AK$2:$AL$9,2,0)&amp;"-WASTE-"&amp;OB_Act[[#This Row],[Material]]</f>
        <v>#N/A</v>
      </c>
      <c r="AA161" s="126" t="e">
        <f>"JBG-DUMP1-"&amp;VLOOKUP(OB_Act[[#This Row],[Dump]],$AF$2:$AG$55,2,0)&amp;"-"&amp;OB_Act[[#This Row],[Material]]</f>
        <v>#N/A</v>
      </c>
      <c r="AB161" s="126" t="str">
        <f>"JBG-"&amp;OB_Act[[#This Row],[Material]]</f>
        <v>JBG-</v>
      </c>
      <c r="BD161" s="105" t="str">
        <f>RIGHT(Type_DT_OB[[#This Row],[Nama DT]],4)</f>
        <v>1031</v>
      </c>
      <c r="BE161" s="105" t="s">
        <v>538</v>
      </c>
      <c r="BF161" s="105">
        <v>15</v>
      </c>
      <c r="BG161" s="105">
        <v>14</v>
      </c>
      <c r="BH161" s="105" t="s">
        <v>508</v>
      </c>
      <c r="BI161" s="105" t="s">
        <v>438</v>
      </c>
      <c r="BK161" s="105" t="str">
        <f>RIGHT(Type_mud[[#This Row],[Nama DT]],4)</f>
        <v>1031</v>
      </c>
      <c r="BL161" s="105" t="s">
        <v>538</v>
      </c>
      <c r="BM161" s="105" t="s">
        <v>657</v>
      </c>
    </row>
    <row r="162" spans="13:65">
      <c r="M162" s="105">
        <f>OB_Act[[#This Row],[Volume (BCM)]]*OB_Act[[#This Row],[Distance (Meter)]]</f>
        <v>0</v>
      </c>
      <c r="N162" s="105" t="str">
        <f>LEFT(OB_Act[[#This Row],[Dump Truck]],3)</f>
        <v/>
      </c>
      <c r="O162" s="126" t="str">
        <f>OB_Act[[#This Row],[Day]]&amp;OB_Act[[#This Row],[Excavator]]&amp;OB_Act[[#This Row],[Contractor]]&amp;OB_Act[[#This Row],[Pit]]&amp;OB_Act[[#This Row],[Shift]]</f>
        <v/>
      </c>
      <c r="P162" s="126">
        <f>1/COUNTIF(OB_Act[Dummy_Exc],OB_Act[[#This Row],[Dummy_Exc]])</f>
        <v>4.1841004184100415E-3</v>
      </c>
      <c r="Q162" s="105" t="str">
        <f>OB_Act[[#This Row],[Day]]&amp;OB_Act[[#This Row],[Dump Truck]]&amp;OB_Act[[#This Row],[Pit]]&amp;OB_Act[[#This Row],[Shift]]</f>
        <v/>
      </c>
      <c r="R162" s="126">
        <f>1/COUNTIF(OB_Act[Dummy_DT],OB_Act[[#This Row],[Dummy_DT]])</f>
        <v>4.1841004184100415E-3</v>
      </c>
      <c r="S162" s="126">
        <f>OB_Act[[#This Row],[Distance (Meter)]]*OB_Act[[#This Row],[Volume (BCM)]]</f>
        <v>0</v>
      </c>
      <c r="T162" s="105" t="str">
        <f>OB_Act[[#This Row],[Day]]&amp;OB_Act[[#This Row],[Dump Truck]]&amp;OB_Act[[#This Row],[Contractor]]&amp;OB_Act[[#This Row],[Excavator]]&amp;OB_Act[[#This Row],[Shift]]</f>
        <v/>
      </c>
      <c r="U162" s="126">
        <f>1/COUNTIF(OB_Act[Dummy_DT/Exc],OB_Act[[#This Row],[Dummy_DT/Exc]])</f>
        <v>4.1841004184100415E-3</v>
      </c>
      <c r="V162" s="126" t="e">
        <f>VLOOKUP(OB_Act[[#This Row],[Day]],$AO$2:$AR$32,4,0)</f>
        <v>#N/A</v>
      </c>
      <c r="W162" s="126" t="e">
        <f>VLOOKUP(OB_Act[[#This Row],[Dump Area]],$AE$2:$AF$51,2,0)</f>
        <v>#N/A</v>
      </c>
      <c r="X162" s="126" t="str">
        <f>OB_Act[[#This Row],[Excavator]]&amp;OB_Act[[#This Row],[Contractor]]</f>
        <v/>
      </c>
      <c r="Y162" s="126" t="e">
        <f>IF(OB_Act[[#This Row],[Material]]="MUD",VLOOKUP(OB_Act[[#This Row],[Dump Truck]],Type_mud[[Nama DT]:[Type]],2,0),VLOOKUP(OB_Act[[#This Row],[Dump Truck]],Type_DT_OB[[Nama DT]:[Type]],4,0))</f>
        <v>#N/A</v>
      </c>
      <c r="Z162" s="126" t="e">
        <f>"JBG-OP1-CENTRAL-"&amp;VLOOKUP(OB_Act[[#This Row],[Pit]],$AK$2:$AL$9,2,0)&amp;"-WASTE-"&amp;OB_Act[[#This Row],[Material]]</f>
        <v>#N/A</v>
      </c>
      <c r="AA162" s="126" t="e">
        <f>"JBG-DUMP1-"&amp;VLOOKUP(OB_Act[[#This Row],[Dump]],$AF$2:$AG$55,2,0)&amp;"-"&amp;OB_Act[[#This Row],[Material]]</f>
        <v>#N/A</v>
      </c>
      <c r="AB162" s="126" t="str">
        <f>"JBG-"&amp;OB_Act[[#This Row],[Material]]</f>
        <v>JBG-</v>
      </c>
      <c r="BD162" s="105" t="str">
        <f>RIGHT(Type_DT_OB[[#This Row],[Nama DT]],4)</f>
        <v>1032</v>
      </c>
      <c r="BE162" s="105" t="s">
        <v>539</v>
      </c>
      <c r="BF162" s="105">
        <v>15</v>
      </c>
      <c r="BG162" s="105">
        <v>14</v>
      </c>
      <c r="BH162" s="105" t="s">
        <v>508</v>
      </c>
      <c r="BI162" s="105" t="s">
        <v>438</v>
      </c>
      <c r="BK162" s="105" t="str">
        <f>RIGHT(Type_mud[[#This Row],[Nama DT]],4)</f>
        <v>1032</v>
      </c>
      <c r="BL162" s="105" t="s">
        <v>539</v>
      </c>
      <c r="BM162" s="105" t="s">
        <v>657</v>
      </c>
    </row>
    <row r="163" spans="13:65">
      <c r="M163" s="105">
        <f>OB_Act[[#This Row],[Volume (BCM)]]*OB_Act[[#This Row],[Distance (Meter)]]</f>
        <v>0</v>
      </c>
      <c r="N163" s="105" t="str">
        <f>LEFT(OB_Act[[#This Row],[Dump Truck]],3)</f>
        <v/>
      </c>
      <c r="O163" s="126" t="str">
        <f>OB_Act[[#This Row],[Day]]&amp;OB_Act[[#This Row],[Excavator]]&amp;OB_Act[[#This Row],[Contractor]]&amp;OB_Act[[#This Row],[Pit]]&amp;OB_Act[[#This Row],[Shift]]</f>
        <v/>
      </c>
      <c r="P163" s="126">
        <f>1/COUNTIF(OB_Act[Dummy_Exc],OB_Act[[#This Row],[Dummy_Exc]])</f>
        <v>4.1841004184100415E-3</v>
      </c>
      <c r="Q163" s="105" t="str">
        <f>OB_Act[[#This Row],[Day]]&amp;OB_Act[[#This Row],[Dump Truck]]&amp;OB_Act[[#This Row],[Pit]]&amp;OB_Act[[#This Row],[Shift]]</f>
        <v/>
      </c>
      <c r="R163" s="126">
        <f>1/COUNTIF(OB_Act[Dummy_DT],OB_Act[[#This Row],[Dummy_DT]])</f>
        <v>4.1841004184100415E-3</v>
      </c>
      <c r="S163" s="126">
        <f>OB_Act[[#This Row],[Distance (Meter)]]*OB_Act[[#This Row],[Volume (BCM)]]</f>
        <v>0</v>
      </c>
      <c r="T163" s="105" t="str">
        <f>OB_Act[[#This Row],[Day]]&amp;OB_Act[[#This Row],[Dump Truck]]&amp;OB_Act[[#This Row],[Contractor]]&amp;OB_Act[[#This Row],[Excavator]]&amp;OB_Act[[#This Row],[Shift]]</f>
        <v/>
      </c>
      <c r="U163" s="126">
        <f>1/COUNTIF(OB_Act[Dummy_DT/Exc],OB_Act[[#This Row],[Dummy_DT/Exc]])</f>
        <v>4.1841004184100415E-3</v>
      </c>
      <c r="V163" s="126" t="e">
        <f>VLOOKUP(OB_Act[[#This Row],[Day]],$AO$2:$AR$32,4,0)</f>
        <v>#N/A</v>
      </c>
      <c r="W163" s="126" t="e">
        <f>VLOOKUP(OB_Act[[#This Row],[Dump Area]],$AE$2:$AF$51,2,0)</f>
        <v>#N/A</v>
      </c>
      <c r="X163" s="126" t="str">
        <f>OB_Act[[#This Row],[Excavator]]&amp;OB_Act[[#This Row],[Contractor]]</f>
        <v/>
      </c>
      <c r="Y163" s="126" t="e">
        <f>IF(OB_Act[[#This Row],[Material]]="MUD",VLOOKUP(OB_Act[[#This Row],[Dump Truck]],Type_mud[[Nama DT]:[Type]],2,0),VLOOKUP(OB_Act[[#This Row],[Dump Truck]],Type_DT_OB[[Nama DT]:[Type]],4,0))</f>
        <v>#N/A</v>
      </c>
      <c r="Z163" s="126" t="e">
        <f>"JBG-OP1-CENTRAL-"&amp;VLOOKUP(OB_Act[[#This Row],[Pit]],$AK$2:$AL$9,2,0)&amp;"-WASTE-"&amp;OB_Act[[#This Row],[Material]]</f>
        <v>#N/A</v>
      </c>
      <c r="AA163" s="126" t="e">
        <f>"JBG-DUMP1-"&amp;VLOOKUP(OB_Act[[#This Row],[Dump]],$AF$2:$AG$55,2,0)&amp;"-"&amp;OB_Act[[#This Row],[Material]]</f>
        <v>#N/A</v>
      </c>
      <c r="AB163" s="126" t="str">
        <f>"JBG-"&amp;OB_Act[[#This Row],[Material]]</f>
        <v>JBG-</v>
      </c>
      <c r="BD163" s="105" t="str">
        <f>RIGHT(Type_DT_OB[[#This Row],[Nama DT]],4)</f>
        <v>1033</v>
      </c>
      <c r="BE163" s="105" t="s">
        <v>540</v>
      </c>
      <c r="BF163" s="105">
        <v>15</v>
      </c>
      <c r="BG163" s="105">
        <v>14</v>
      </c>
      <c r="BH163" s="105" t="s">
        <v>508</v>
      </c>
      <c r="BI163" s="105" t="s">
        <v>438</v>
      </c>
      <c r="BK163" s="105" t="str">
        <f>RIGHT(Type_mud[[#This Row],[Nama DT]],4)</f>
        <v>1033</v>
      </c>
      <c r="BL163" s="105" t="s">
        <v>540</v>
      </c>
      <c r="BM163" s="105" t="s">
        <v>657</v>
      </c>
    </row>
    <row r="164" spans="13:65">
      <c r="M164" s="105">
        <f>OB_Act[[#This Row],[Volume (BCM)]]*OB_Act[[#This Row],[Distance (Meter)]]</f>
        <v>0</v>
      </c>
      <c r="N164" s="105" t="str">
        <f>LEFT(OB_Act[[#This Row],[Dump Truck]],3)</f>
        <v/>
      </c>
      <c r="O164" s="126" t="str">
        <f>OB_Act[[#This Row],[Day]]&amp;OB_Act[[#This Row],[Excavator]]&amp;OB_Act[[#This Row],[Contractor]]&amp;OB_Act[[#This Row],[Pit]]&amp;OB_Act[[#This Row],[Shift]]</f>
        <v/>
      </c>
      <c r="P164" s="126">
        <f>1/COUNTIF(OB_Act[Dummy_Exc],OB_Act[[#This Row],[Dummy_Exc]])</f>
        <v>4.1841004184100415E-3</v>
      </c>
      <c r="Q164" s="105" t="str">
        <f>OB_Act[[#This Row],[Day]]&amp;OB_Act[[#This Row],[Dump Truck]]&amp;OB_Act[[#This Row],[Pit]]&amp;OB_Act[[#This Row],[Shift]]</f>
        <v/>
      </c>
      <c r="R164" s="126">
        <f>1/COUNTIF(OB_Act[Dummy_DT],OB_Act[[#This Row],[Dummy_DT]])</f>
        <v>4.1841004184100415E-3</v>
      </c>
      <c r="S164" s="126">
        <f>OB_Act[[#This Row],[Distance (Meter)]]*OB_Act[[#This Row],[Volume (BCM)]]</f>
        <v>0</v>
      </c>
      <c r="T164" s="105" t="str">
        <f>OB_Act[[#This Row],[Day]]&amp;OB_Act[[#This Row],[Dump Truck]]&amp;OB_Act[[#This Row],[Contractor]]&amp;OB_Act[[#This Row],[Excavator]]&amp;OB_Act[[#This Row],[Shift]]</f>
        <v/>
      </c>
      <c r="U164" s="126">
        <f>1/COUNTIF(OB_Act[Dummy_DT/Exc],OB_Act[[#This Row],[Dummy_DT/Exc]])</f>
        <v>4.1841004184100415E-3</v>
      </c>
      <c r="V164" s="126" t="e">
        <f>VLOOKUP(OB_Act[[#This Row],[Day]],$AO$2:$AR$32,4,0)</f>
        <v>#N/A</v>
      </c>
      <c r="W164" s="126" t="e">
        <f>VLOOKUP(OB_Act[[#This Row],[Dump Area]],$AE$2:$AF$51,2,0)</f>
        <v>#N/A</v>
      </c>
      <c r="X164" s="126" t="str">
        <f>OB_Act[[#This Row],[Excavator]]&amp;OB_Act[[#This Row],[Contractor]]</f>
        <v/>
      </c>
      <c r="Y164" s="126" t="e">
        <f>IF(OB_Act[[#This Row],[Material]]="MUD",VLOOKUP(OB_Act[[#This Row],[Dump Truck]],Type_mud[[Nama DT]:[Type]],2,0),VLOOKUP(OB_Act[[#This Row],[Dump Truck]],Type_DT_OB[[Nama DT]:[Type]],4,0))</f>
        <v>#N/A</v>
      </c>
      <c r="Z164" s="126" t="e">
        <f>"JBG-OP1-CENTRAL-"&amp;VLOOKUP(OB_Act[[#This Row],[Pit]],$AK$2:$AL$9,2,0)&amp;"-WASTE-"&amp;OB_Act[[#This Row],[Material]]</f>
        <v>#N/A</v>
      </c>
      <c r="AA164" s="126" t="e">
        <f>"JBG-DUMP1-"&amp;VLOOKUP(OB_Act[[#This Row],[Dump]],$AF$2:$AG$55,2,0)&amp;"-"&amp;OB_Act[[#This Row],[Material]]</f>
        <v>#N/A</v>
      </c>
      <c r="AB164" s="126" t="str">
        <f>"JBG-"&amp;OB_Act[[#This Row],[Material]]</f>
        <v>JBG-</v>
      </c>
      <c r="BD164" s="105" t="str">
        <f>RIGHT(Type_DT_OB[[#This Row],[Nama DT]],4)</f>
        <v>1034</v>
      </c>
      <c r="BE164" s="105" t="s">
        <v>541</v>
      </c>
      <c r="BF164" s="105">
        <v>15</v>
      </c>
      <c r="BG164" s="105">
        <v>14</v>
      </c>
      <c r="BH164" s="105" t="s">
        <v>508</v>
      </c>
      <c r="BI164" s="105" t="s">
        <v>438</v>
      </c>
      <c r="BK164" s="105" t="str">
        <f>RIGHT(Type_mud[[#This Row],[Nama DT]],4)</f>
        <v>1034</v>
      </c>
      <c r="BL164" s="105" t="s">
        <v>541</v>
      </c>
      <c r="BM164" s="105" t="s">
        <v>657</v>
      </c>
    </row>
    <row r="165" spans="13:65">
      <c r="M165" s="105">
        <f>OB_Act[[#This Row],[Volume (BCM)]]*OB_Act[[#This Row],[Distance (Meter)]]</f>
        <v>0</v>
      </c>
      <c r="N165" s="105" t="str">
        <f>LEFT(OB_Act[[#This Row],[Dump Truck]],3)</f>
        <v/>
      </c>
      <c r="O165" s="126" t="str">
        <f>OB_Act[[#This Row],[Day]]&amp;OB_Act[[#This Row],[Excavator]]&amp;OB_Act[[#This Row],[Contractor]]&amp;OB_Act[[#This Row],[Pit]]&amp;OB_Act[[#This Row],[Shift]]</f>
        <v/>
      </c>
      <c r="P165" s="126">
        <f>1/COUNTIF(OB_Act[Dummy_Exc],OB_Act[[#This Row],[Dummy_Exc]])</f>
        <v>4.1841004184100415E-3</v>
      </c>
      <c r="Q165" s="105" t="str">
        <f>OB_Act[[#This Row],[Day]]&amp;OB_Act[[#This Row],[Dump Truck]]&amp;OB_Act[[#This Row],[Pit]]&amp;OB_Act[[#This Row],[Shift]]</f>
        <v/>
      </c>
      <c r="R165" s="126">
        <f>1/COUNTIF(OB_Act[Dummy_DT],OB_Act[[#This Row],[Dummy_DT]])</f>
        <v>4.1841004184100415E-3</v>
      </c>
      <c r="S165" s="126">
        <f>OB_Act[[#This Row],[Distance (Meter)]]*OB_Act[[#This Row],[Volume (BCM)]]</f>
        <v>0</v>
      </c>
      <c r="T165" s="105" t="str">
        <f>OB_Act[[#This Row],[Day]]&amp;OB_Act[[#This Row],[Dump Truck]]&amp;OB_Act[[#This Row],[Contractor]]&amp;OB_Act[[#This Row],[Excavator]]&amp;OB_Act[[#This Row],[Shift]]</f>
        <v/>
      </c>
      <c r="U165" s="126">
        <f>1/COUNTIF(OB_Act[Dummy_DT/Exc],OB_Act[[#This Row],[Dummy_DT/Exc]])</f>
        <v>4.1841004184100415E-3</v>
      </c>
      <c r="V165" s="126" t="e">
        <f>VLOOKUP(OB_Act[[#This Row],[Day]],$AO$2:$AR$32,4,0)</f>
        <v>#N/A</v>
      </c>
      <c r="W165" s="126" t="e">
        <f>VLOOKUP(OB_Act[[#This Row],[Dump Area]],$AE$2:$AF$51,2,0)</f>
        <v>#N/A</v>
      </c>
      <c r="X165" s="126" t="str">
        <f>OB_Act[[#This Row],[Excavator]]&amp;OB_Act[[#This Row],[Contractor]]</f>
        <v/>
      </c>
      <c r="Y165" s="126" t="e">
        <f>IF(OB_Act[[#This Row],[Material]]="MUD",VLOOKUP(OB_Act[[#This Row],[Dump Truck]],Type_mud[[Nama DT]:[Type]],2,0),VLOOKUP(OB_Act[[#This Row],[Dump Truck]],Type_DT_OB[[Nama DT]:[Type]],4,0))</f>
        <v>#N/A</v>
      </c>
      <c r="Z165" s="126" t="e">
        <f>"JBG-OP1-CENTRAL-"&amp;VLOOKUP(OB_Act[[#This Row],[Pit]],$AK$2:$AL$9,2,0)&amp;"-WASTE-"&amp;OB_Act[[#This Row],[Material]]</f>
        <v>#N/A</v>
      </c>
      <c r="AA165" s="126" t="e">
        <f>"JBG-DUMP1-"&amp;VLOOKUP(OB_Act[[#This Row],[Dump]],$AF$2:$AG$55,2,0)&amp;"-"&amp;OB_Act[[#This Row],[Material]]</f>
        <v>#N/A</v>
      </c>
      <c r="AB165" s="126" t="str">
        <f>"JBG-"&amp;OB_Act[[#This Row],[Material]]</f>
        <v>JBG-</v>
      </c>
      <c r="BD165" s="105" t="str">
        <f>RIGHT(Type_DT_OB[[#This Row],[Nama DT]],4)</f>
        <v>1035</v>
      </c>
      <c r="BE165" s="105" t="s">
        <v>542</v>
      </c>
      <c r="BF165" s="105">
        <v>15</v>
      </c>
      <c r="BG165" s="105">
        <v>14</v>
      </c>
      <c r="BH165" s="105" t="s">
        <v>508</v>
      </c>
      <c r="BI165" s="105" t="s">
        <v>438</v>
      </c>
      <c r="BK165" s="105" t="str">
        <f>RIGHT(Type_mud[[#This Row],[Nama DT]],4)</f>
        <v>1035</v>
      </c>
      <c r="BL165" s="105" t="s">
        <v>542</v>
      </c>
      <c r="BM165" s="105" t="s">
        <v>657</v>
      </c>
    </row>
    <row r="166" spans="13:65">
      <c r="M166" s="105">
        <f>OB_Act[[#This Row],[Volume (BCM)]]*OB_Act[[#This Row],[Distance (Meter)]]</f>
        <v>0</v>
      </c>
      <c r="N166" s="105" t="str">
        <f>LEFT(OB_Act[[#This Row],[Dump Truck]],3)</f>
        <v/>
      </c>
      <c r="O166" s="126" t="str">
        <f>OB_Act[[#This Row],[Day]]&amp;OB_Act[[#This Row],[Excavator]]&amp;OB_Act[[#This Row],[Contractor]]&amp;OB_Act[[#This Row],[Pit]]&amp;OB_Act[[#This Row],[Shift]]</f>
        <v/>
      </c>
      <c r="P166" s="126">
        <f>1/COUNTIF(OB_Act[Dummy_Exc],OB_Act[[#This Row],[Dummy_Exc]])</f>
        <v>4.1841004184100415E-3</v>
      </c>
      <c r="Q166" s="105" t="str">
        <f>OB_Act[[#This Row],[Day]]&amp;OB_Act[[#This Row],[Dump Truck]]&amp;OB_Act[[#This Row],[Pit]]&amp;OB_Act[[#This Row],[Shift]]</f>
        <v/>
      </c>
      <c r="R166" s="126">
        <f>1/COUNTIF(OB_Act[Dummy_DT],OB_Act[[#This Row],[Dummy_DT]])</f>
        <v>4.1841004184100415E-3</v>
      </c>
      <c r="S166" s="126">
        <f>OB_Act[[#This Row],[Distance (Meter)]]*OB_Act[[#This Row],[Volume (BCM)]]</f>
        <v>0</v>
      </c>
      <c r="T166" s="105" t="str">
        <f>OB_Act[[#This Row],[Day]]&amp;OB_Act[[#This Row],[Dump Truck]]&amp;OB_Act[[#This Row],[Contractor]]&amp;OB_Act[[#This Row],[Excavator]]&amp;OB_Act[[#This Row],[Shift]]</f>
        <v/>
      </c>
      <c r="U166" s="126">
        <f>1/COUNTIF(OB_Act[Dummy_DT/Exc],OB_Act[[#This Row],[Dummy_DT/Exc]])</f>
        <v>4.1841004184100415E-3</v>
      </c>
      <c r="V166" s="126" t="e">
        <f>VLOOKUP(OB_Act[[#This Row],[Day]],$AO$2:$AR$32,4,0)</f>
        <v>#N/A</v>
      </c>
      <c r="W166" s="126" t="e">
        <f>VLOOKUP(OB_Act[[#This Row],[Dump Area]],$AE$2:$AF$51,2,0)</f>
        <v>#N/A</v>
      </c>
      <c r="X166" s="126" t="str">
        <f>OB_Act[[#This Row],[Excavator]]&amp;OB_Act[[#This Row],[Contractor]]</f>
        <v/>
      </c>
      <c r="Y166" s="126" t="e">
        <f>IF(OB_Act[[#This Row],[Material]]="MUD",VLOOKUP(OB_Act[[#This Row],[Dump Truck]],Type_mud[[Nama DT]:[Type]],2,0),VLOOKUP(OB_Act[[#This Row],[Dump Truck]],Type_DT_OB[[Nama DT]:[Type]],4,0))</f>
        <v>#N/A</v>
      </c>
      <c r="Z166" s="126" t="e">
        <f>"JBG-OP1-CENTRAL-"&amp;VLOOKUP(OB_Act[[#This Row],[Pit]],$AK$2:$AL$9,2,0)&amp;"-WASTE-"&amp;OB_Act[[#This Row],[Material]]</f>
        <v>#N/A</v>
      </c>
      <c r="AA166" s="126" t="e">
        <f>"JBG-DUMP1-"&amp;VLOOKUP(OB_Act[[#This Row],[Dump]],$AF$2:$AG$55,2,0)&amp;"-"&amp;OB_Act[[#This Row],[Material]]</f>
        <v>#N/A</v>
      </c>
      <c r="AB166" s="126" t="str">
        <f>"JBG-"&amp;OB_Act[[#This Row],[Material]]</f>
        <v>JBG-</v>
      </c>
      <c r="BD166" s="105" t="str">
        <f>RIGHT(Type_DT_OB[[#This Row],[Nama DT]],4)</f>
        <v>1036</v>
      </c>
      <c r="BE166" s="105" t="s">
        <v>543</v>
      </c>
      <c r="BF166" s="105">
        <v>15</v>
      </c>
      <c r="BG166" s="105">
        <v>14</v>
      </c>
      <c r="BH166" s="105" t="s">
        <v>508</v>
      </c>
      <c r="BI166" s="105" t="s">
        <v>438</v>
      </c>
      <c r="BK166" s="105" t="str">
        <f>RIGHT(Type_mud[[#This Row],[Nama DT]],4)</f>
        <v>1036</v>
      </c>
      <c r="BL166" s="105" t="s">
        <v>543</v>
      </c>
      <c r="BM166" s="105" t="s">
        <v>657</v>
      </c>
    </row>
    <row r="167" spans="13:65">
      <c r="M167" s="105">
        <f>OB_Act[[#This Row],[Volume (BCM)]]*OB_Act[[#This Row],[Distance (Meter)]]</f>
        <v>0</v>
      </c>
      <c r="N167" s="105" t="str">
        <f>LEFT(OB_Act[[#This Row],[Dump Truck]],3)</f>
        <v/>
      </c>
      <c r="O167" s="126" t="str">
        <f>OB_Act[[#This Row],[Day]]&amp;OB_Act[[#This Row],[Excavator]]&amp;OB_Act[[#This Row],[Contractor]]&amp;OB_Act[[#This Row],[Pit]]&amp;OB_Act[[#This Row],[Shift]]</f>
        <v/>
      </c>
      <c r="P167" s="126">
        <f>1/COUNTIF(OB_Act[Dummy_Exc],OB_Act[[#This Row],[Dummy_Exc]])</f>
        <v>4.1841004184100415E-3</v>
      </c>
      <c r="Q167" s="105" t="str">
        <f>OB_Act[[#This Row],[Day]]&amp;OB_Act[[#This Row],[Dump Truck]]&amp;OB_Act[[#This Row],[Pit]]&amp;OB_Act[[#This Row],[Shift]]</f>
        <v/>
      </c>
      <c r="R167" s="126">
        <f>1/COUNTIF(OB_Act[Dummy_DT],OB_Act[[#This Row],[Dummy_DT]])</f>
        <v>4.1841004184100415E-3</v>
      </c>
      <c r="S167" s="126">
        <f>OB_Act[[#This Row],[Distance (Meter)]]*OB_Act[[#This Row],[Volume (BCM)]]</f>
        <v>0</v>
      </c>
      <c r="T167" s="105" t="str">
        <f>OB_Act[[#This Row],[Day]]&amp;OB_Act[[#This Row],[Dump Truck]]&amp;OB_Act[[#This Row],[Contractor]]&amp;OB_Act[[#This Row],[Excavator]]&amp;OB_Act[[#This Row],[Shift]]</f>
        <v/>
      </c>
      <c r="U167" s="126">
        <f>1/COUNTIF(OB_Act[Dummy_DT/Exc],OB_Act[[#This Row],[Dummy_DT/Exc]])</f>
        <v>4.1841004184100415E-3</v>
      </c>
      <c r="V167" s="126" t="e">
        <f>VLOOKUP(OB_Act[[#This Row],[Day]],$AO$2:$AR$32,4,0)</f>
        <v>#N/A</v>
      </c>
      <c r="W167" s="126" t="e">
        <f>VLOOKUP(OB_Act[[#This Row],[Dump Area]],$AE$2:$AF$51,2,0)</f>
        <v>#N/A</v>
      </c>
      <c r="X167" s="126" t="str">
        <f>OB_Act[[#This Row],[Excavator]]&amp;OB_Act[[#This Row],[Contractor]]</f>
        <v/>
      </c>
      <c r="Y167" s="126" t="e">
        <f>IF(OB_Act[[#This Row],[Material]]="MUD",VLOOKUP(OB_Act[[#This Row],[Dump Truck]],Type_mud[[Nama DT]:[Type]],2,0),VLOOKUP(OB_Act[[#This Row],[Dump Truck]],Type_DT_OB[[Nama DT]:[Type]],4,0))</f>
        <v>#N/A</v>
      </c>
      <c r="Z167" s="126" t="e">
        <f>"JBG-OP1-CENTRAL-"&amp;VLOOKUP(OB_Act[[#This Row],[Pit]],$AK$2:$AL$9,2,0)&amp;"-WASTE-"&amp;OB_Act[[#This Row],[Material]]</f>
        <v>#N/A</v>
      </c>
      <c r="AA167" s="126" t="e">
        <f>"JBG-DUMP1-"&amp;VLOOKUP(OB_Act[[#This Row],[Dump]],$AF$2:$AG$55,2,0)&amp;"-"&amp;OB_Act[[#This Row],[Material]]</f>
        <v>#N/A</v>
      </c>
      <c r="AB167" s="126" t="str">
        <f>"JBG-"&amp;OB_Act[[#This Row],[Material]]</f>
        <v>JBG-</v>
      </c>
      <c r="BD167" s="105" t="str">
        <f>RIGHT(Type_DT_OB[[#This Row],[Nama DT]],3)</f>
        <v>941</v>
      </c>
      <c r="BE167" s="105" t="s">
        <v>544</v>
      </c>
      <c r="BF167" s="105">
        <v>9</v>
      </c>
      <c r="BG167" s="105">
        <v>7</v>
      </c>
      <c r="BH167" s="105" t="s">
        <v>545</v>
      </c>
      <c r="BI167" s="105" t="s">
        <v>546</v>
      </c>
      <c r="BK167" s="105" t="str">
        <f>RIGHT(Type_mud[[#This Row],[Nama DT]],3)</f>
        <v>941</v>
      </c>
      <c r="BL167" s="105" t="s">
        <v>544</v>
      </c>
      <c r="BM167" s="105" t="s">
        <v>645</v>
      </c>
    </row>
    <row r="168" spans="13:65">
      <c r="M168" s="105">
        <f>OB_Act[[#This Row],[Volume (BCM)]]*OB_Act[[#This Row],[Distance (Meter)]]</f>
        <v>0</v>
      </c>
      <c r="N168" s="105" t="str">
        <f>LEFT(OB_Act[[#This Row],[Dump Truck]],3)</f>
        <v/>
      </c>
      <c r="O168" s="126" t="str">
        <f>OB_Act[[#This Row],[Day]]&amp;OB_Act[[#This Row],[Excavator]]&amp;OB_Act[[#This Row],[Contractor]]&amp;OB_Act[[#This Row],[Pit]]&amp;OB_Act[[#This Row],[Shift]]</f>
        <v/>
      </c>
      <c r="P168" s="126">
        <f>1/COUNTIF(OB_Act[Dummy_Exc],OB_Act[[#This Row],[Dummy_Exc]])</f>
        <v>4.1841004184100415E-3</v>
      </c>
      <c r="Q168" s="105" t="str">
        <f>OB_Act[[#This Row],[Day]]&amp;OB_Act[[#This Row],[Dump Truck]]&amp;OB_Act[[#This Row],[Pit]]&amp;OB_Act[[#This Row],[Shift]]</f>
        <v/>
      </c>
      <c r="R168" s="126">
        <f>1/COUNTIF(OB_Act[Dummy_DT],OB_Act[[#This Row],[Dummy_DT]])</f>
        <v>4.1841004184100415E-3</v>
      </c>
      <c r="S168" s="126">
        <f>OB_Act[[#This Row],[Distance (Meter)]]*OB_Act[[#This Row],[Volume (BCM)]]</f>
        <v>0</v>
      </c>
      <c r="T168" s="105" t="str">
        <f>OB_Act[[#This Row],[Day]]&amp;OB_Act[[#This Row],[Dump Truck]]&amp;OB_Act[[#This Row],[Contractor]]&amp;OB_Act[[#This Row],[Excavator]]&amp;OB_Act[[#This Row],[Shift]]</f>
        <v/>
      </c>
      <c r="U168" s="126">
        <f>1/COUNTIF(OB_Act[Dummy_DT/Exc],OB_Act[[#This Row],[Dummy_DT/Exc]])</f>
        <v>4.1841004184100415E-3</v>
      </c>
      <c r="V168" s="126" t="e">
        <f>VLOOKUP(OB_Act[[#This Row],[Day]],$AO$2:$AR$32,4,0)</f>
        <v>#N/A</v>
      </c>
      <c r="W168" s="126" t="e">
        <f>VLOOKUP(OB_Act[[#This Row],[Dump Area]],$AE$2:$AF$51,2,0)</f>
        <v>#N/A</v>
      </c>
      <c r="X168" s="126" t="str">
        <f>OB_Act[[#This Row],[Excavator]]&amp;OB_Act[[#This Row],[Contractor]]</f>
        <v/>
      </c>
      <c r="Y168" s="126" t="e">
        <f>IF(OB_Act[[#This Row],[Material]]="MUD",VLOOKUP(OB_Act[[#This Row],[Dump Truck]],Type_mud[[Nama DT]:[Type]],2,0),VLOOKUP(OB_Act[[#This Row],[Dump Truck]],Type_DT_OB[[Nama DT]:[Type]],4,0))</f>
        <v>#N/A</v>
      </c>
      <c r="Z168" s="126" t="e">
        <f>"JBG-OP1-CENTRAL-"&amp;VLOOKUP(OB_Act[[#This Row],[Pit]],$AK$2:$AL$9,2,0)&amp;"-WASTE-"&amp;OB_Act[[#This Row],[Material]]</f>
        <v>#N/A</v>
      </c>
      <c r="AA168" s="126" t="e">
        <f>"JBG-DUMP1-"&amp;VLOOKUP(OB_Act[[#This Row],[Dump]],$AF$2:$AG$55,2,0)&amp;"-"&amp;OB_Act[[#This Row],[Material]]</f>
        <v>#N/A</v>
      </c>
      <c r="AB168" s="126" t="str">
        <f>"JBG-"&amp;OB_Act[[#This Row],[Material]]</f>
        <v>JBG-</v>
      </c>
      <c r="BD168" s="105" t="str">
        <f>RIGHT(Type_DT_OB[[#This Row],[Nama DT]],3)</f>
        <v>942</v>
      </c>
      <c r="BE168" s="105" t="s">
        <v>547</v>
      </c>
      <c r="BF168" s="105">
        <v>9</v>
      </c>
      <c r="BG168" s="105">
        <v>7</v>
      </c>
      <c r="BH168" s="105" t="s">
        <v>545</v>
      </c>
      <c r="BI168" s="105" t="s">
        <v>546</v>
      </c>
      <c r="BK168" s="105" t="str">
        <f>RIGHT(Type_mud[[#This Row],[Nama DT]],3)</f>
        <v>942</v>
      </c>
      <c r="BL168" s="105" t="s">
        <v>547</v>
      </c>
      <c r="BM168" s="105" t="s">
        <v>645</v>
      </c>
    </row>
    <row r="169" spans="13:65">
      <c r="M169" s="105">
        <f>OB_Act[[#This Row],[Volume (BCM)]]*OB_Act[[#This Row],[Distance (Meter)]]</f>
        <v>0</v>
      </c>
      <c r="N169" s="105" t="str">
        <f>LEFT(OB_Act[[#This Row],[Dump Truck]],3)</f>
        <v/>
      </c>
      <c r="O169" s="126" t="str">
        <f>OB_Act[[#This Row],[Day]]&amp;OB_Act[[#This Row],[Excavator]]&amp;OB_Act[[#This Row],[Contractor]]&amp;OB_Act[[#This Row],[Pit]]&amp;OB_Act[[#This Row],[Shift]]</f>
        <v/>
      </c>
      <c r="P169" s="126">
        <f>1/COUNTIF(OB_Act[Dummy_Exc],OB_Act[[#This Row],[Dummy_Exc]])</f>
        <v>4.1841004184100415E-3</v>
      </c>
      <c r="Q169" s="105" t="str">
        <f>OB_Act[[#This Row],[Day]]&amp;OB_Act[[#This Row],[Dump Truck]]&amp;OB_Act[[#This Row],[Pit]]&amp;OB_Act[[#This Row],[Shift]]</f>
        <v/>
      </c>
      <c r="R169" s="126">
        <f>1/COUNTIF(OB_Act[Dummy_DT],OB_Act[[#This Row],[Dummy_DT]])</f>
        <v>4.1841004184100415E-3</v>
      </c>
      <c r="S169" s="126">
        <f>OB_Act[[#This Row],[Distance (Meter)]]*OB_Act[[#This Row],[Volume (BCM)]]</f>
        <v>0</v>
      </c>
      <c r="T169" s="105" t="str">
        <f>OB_Act[[#This Row],[Day]]&amp;OB_Act[[#This Row],[Dump Truck]]&amp;OB_Act[[#This Row],[Contractor]]&amp;OB_Act[[#This Row],[Excavator]]&amp;OB_Act[[#This Row],[Shift]]</f>
        <v/>
      </c>
      <c r="U169" s="126">
        <f>1/COUNTIF(OB_Act[Dummy_DT/Exc],OB_Act[[#This Row],[Dummy_DT/Exc]])</f>
        <v>4.1841004184100415E-3</v>
      </c>
      <c r="V169" s="126" t="e">
        <f>VLOOKUP(OB_Act[[#This Row],[Day]],$AO$2:$AR$32,4,0)</f>
        <v>#N/A</v>
      </c>
      <c r="W169" s="126" t="e">
        <f>VLOOKUP(OB_Act[[#This Row],[Dump Area]],$AE$2:$AF$51,2,0)</f>
        <v>#N/A</v>
      </c>
      <c r="X169" s="126" t="str">
        <f>OB_Act[[#This Row],[Excavator]]&amp;OB_Act[[#This Row],[Contractor]]</f>
        <v/>
      </c>
      <c r="Y169" s="126" t="e">
        <f>IF(OB_Act[[#This Row],[Material]]="MUD",VLOOKUP(OB_Act[[#This Row],[Dump Truck]],Type_mud[[Nama DT]:[Type]],2,0),VLOOKUP(OB_Act[[#This Row],[Dump Truck]],Type_DT_OB[[Nama DT]:[Type]],4,0))</f>
        <v>#N/A</v>
      </c>
      <c r="Z169" s="126" t="e">
        <f>"JBG-OP1-CENTRAL-"&amp;VLOOKUP(OB_Act[[#This Row],[Pit]],$AK$2:$AL$9,2,0)&amp;"-WASTE-"&amp;OB_Act[[#This Row],[Material]]</f>
        <v>#N/A</v>
      </c>
      <c r="AA169" s="126" t="e">
        <f>"JBG-DUMP1-"&amp;VLOOKUP(OB_Act[[#This Row],[Dump]],$AF$2:$AG$55,2,0)&amp;"-"&amp;OB_Act[[#This Row],[Material]]</f>
        <v>#N/A</v>
      </c>
      <c r="AB169" s="126" t="str">
        <f>"JBG-"&amp;OB_Act[[#This Row],[Material]]</f>
        <v>JBG-</v>
      </c>
      <c r="BD169" s="105" t="str">
        <f>RIGHT(Type_DT_OB[[#This Row],[Nama DT]],3)</f>
        <v>943</v>
      </c>
      <c r="BE169" s="105" t="s">
        <v>548</v>
      </c>
      <c r="BF169" s="105">
        <v>9</v>
      </c>
      <c r="BG169" s="105">
        <v>7</v>
      </c>
      <c r="BH169" s="105" t="s">
        <v>545</v>
      </c>
      <c r="BI169" s="105" t="s">
        <v>546</v>
      </c>
      <c r="BK169" s="105" t="str">
        <f>RIGHT(Type_mud[[#This Row],[Nama DT]],3)</f>
        <v>943</v>
      </c>
      <c r="BL169" s="105" t="s">
        <v>548</v>
      </c>
      <c r="BM169" s="105" t="s">
        <v>645</v>
      </c>
    </row>
    <row r="170" spans="13:65">
      <c r="M170" s="105">
        <f>OB_Act[[#This Row],[Volume (BCM)]]*OB_Act[[#This Row],[Distance (Meter)]]</f>
        <v>0</v>
      </c>
      <c r="N170" s="105" t="str">
        <f>LEFT(OB_Act[[#This Row],[Dump Truck]],3)</f>
        <v/>
      </c>
      <c r="O170" s="126" t="str">
        <f>OB_Act[[#This Row],[Day]]&amp;OB_Act[[#This Row],[Excavator]]&amp;OB_Act[[#This Row],[Contractor]]&amp;OB_Act[[#This Row],[Pit]]&amp;OB_Act[[#This Row],[Shift]]</f>
        <v/>
      </c>
      <c r="P170" s="126">
        <f>1/COUNTIF(OB_Act[Dummy_Exc],OB_Act[[#This Row],[Dummy_Exc]])</f>
        <v>4.1841004184100415E-3</v>
      </c>
      <c r="Q170" s="105" t="str">
        <f>OB_Act[[#This Row],[Day]]&amp;OB_Act[[#This Row],[Dump Truck]]&amp;OB_Act[[#This Row],[Pit]]&amp;OB_Act[[#This Row],[Shift]]</f>
        <v/>
      </c>
      <c r="R170" s="126">
        <f>1/COUNTIF(OB_Act[Dummy_DT],OB_Act[[#This Row],[Dummy_DT]])</f>
        <v>4.1841004184100415E-3</v>
      </c>
      <c r="S170" s="126">
        <f>OB_Act[[#This Row],[Distance (Meter)]]*OB_Act[[#This Row],[Volume (BCM)]]</f>
        <v>0</v>
      </c>
      <c r="T170" s="105" t="str">
        <f>OB_Act[[#This Row],[Day]]&amp;OB_Act[[#This Row],[Dump Truck]]&amp;OB_Act[[#This Row],[Contractor]]&amp;OB_Act[[#This Row],[Excavator]]&amp;OB_Act[[#This Row],[Shift]]</f>
        <v/>
      </c>
      <c r="U170" s="126">
        <f>1/COUNTIF(OB_Act[Dummy_DT/Exc],OB_Act[[#This Row],[Dummy_DT/Exc]])</f>
        <v>4.1841004184100415E-3</v>
      </c>
      <c r="V170" s="126" t="e">
        <f>VLOOKUP(OB_Act[[#This Row],[Day]],$AO$2:$AR$32,4,0)</f>
        <v>#N/A</v>
      </c>
      <c r="W170" s="126" t="e">
        <f>VLOOKUP(OB_Act[[#This Row],[Dump Area]],$AE$2:$AF$51,2,0)</f>
        <v>#N/A</v>
      </c>
      <c r="X170" s="126" t="str">
        <f>OB_Act[[#This Row],[Excavator]]&amp;OB_Act[[#This Row],[Contractor]]</f>
        <v/>
      </c>
      <c r="Y170" s="126" t="e">
        <f>IF(OB_Act[[#This Row],[Material]]="MUD",VLOOKUP(OB_Act[[#This Row],[Dump Truck]],Type_mud[[Nama DT]:[Type]],2,0),VLOOKUP(OB_Act[[#This Row],[Dump Truck]],Type_DT_OB[[Nama DT]:[Type]],4,0))</f>
        <v>#N/A</v>
      </c>
      <c r="Z170" s="126" t="e">
        <f>"JBG-OP1-CENTRAL-"&amp;VLOOKUP(OB_Act[[#This Row],[Pit]],$AK$2:$AL$9,2,0)&amp;"-WASTE-"&amp;OB_Act[[#This Row],[Material]]</f>
        <v>#N/A</v>
      </c>
      <c r="AA170" s="126" t="e">
        <f>"JBG-DUMP1-"&amp;VLOOKUP(OB_Act[[#This Row],[Dump]],$AF$2:$AG$55,2,0)&amp;"-"&amp;OB_Act[[#This Row],[Material]]</f>
        <v>#N/A</v>
      </c>
      <c r="AB170" s="126" t="str">
        <f>"JBG-"&amp;OB_Act[[#This Row],[Material]]</f>
        <v>JBG-</v>
      </c>
      <c r="BD170" s="105" t="str">
        <f>RIGHT(Type_DT_OB[[#This Row],[Nama DT]],3)</f>
        <v>944</v>
      </c>
      <c r="BE170" s="105" t="s">
        <v>549</v>
      </c>
      <c r="BF170" s="105">
        <v>9</v>
      </c>
      <c r="BG170" s="105">
        <v>7</v>
      </c>
      <c r="BH170" s="105" t="s">
        <v>545</v>
      </c>
      <c r="BI170" s="105" t="s">
        <v>546</v>
      </c>
      <c r="BK170" s="105" t="str">
        <f>RIGHT(Type_mud[[#This Row],[Nama DT]],3)</f>
        <v>944</v>
      </c>
      <c r="BL170" s="105" t="s">
        <v>549</v>
      </c>
      <c r="BM170" s="105" t="s">
        <v>645</v>
      </c>
    </row>
    <row r="171" spans="13:65">
      <c r="M171" s="105">
        <f>OB_Act[[#This Row],[Volume (BCM)]]*OB_Act[[#This Row],[Distance (Meter)]]</f>
        <v>0</v>
      </c>
      <c r="N171" s="105" t="str">
        <f>LEFT(OB_Act[[#This Row],[Dump Truck]],3)</f>
        <v/>
      </c>
      <c r="O171" s="126" t="str">
        <f>OB_Act[[#This Row],[Day]]&amp;OB_Act[[#This Row],[Excavator]]&amp;OB_Act[[#This Row],[Contractor]]&amp;OB_Act[[#This Row],[Pit]]&amp;OB_Act[[#This Row],[Shift]]</f>
        <v/>
      </c>
      <c r="P171" s="126">
        <f>1/COUNTIF(OB_Act[Dummy_Exc],OB_Act[[#This Row],[Dummy_Exc]])</f>
        <v>4.1841004184100415E-3</v>
      </c>
      <c r="Q171" s="105" t="str">
        <f>OB_Act[[#This Row],[Day]]&amp;OB_Act[[#This Row],[Dump Truck]]&amp;OB_Act[[#This Row],[Pit]]&amp;OB_Act[[#This Row],[Shift]]</f>
        <v/>
      </c>
      <c r="R171" s="126">
        <f>1/COUNTIF(OB_Act[Dummy_DT],OB_Act[[#This Row],[Dummy_DT]])</f>
        <v>4.1841004184100415E-3</v>
      </c>
      <c r="S171" s="126">
        <f>OB_Act[[#This Row],[Distance (Meter)]]*OB_Act[[#This Row],[Volume (BCM)]]</f>
        <v>0</v>
      </c>
      <c r="T171" s="105" t="str">
        <f>OB_Act[[#This Row],[Day]]&amp;OB_Act[[#This Row],[Dump Truck]]&amp;OB_Act[[#This Row],[Contractor]]&amp;OB_Act[[#This Row],[Excavator]]&amp;OB_Act[[#This Row],[Shift]]</f>
        <v/>
      </c>
      <c r="U171" s="126">
        <f>1/COUNTIF(OB_Act[Dummy_DT/Exc],OB_Act[[#This Row],[Dummy_DT/Exc]])</f>
        <v>4.1841004184100415E-3</v>
      </c>
      <c r="V171" s="126" t="e">
        <f>VLOOKUP(OB_Act[[#This Row],[Day]],$AO$2:$AR$32,4,0)</f>
        <v>#N/A</v>
      </c>
      <c r="W171" s="126" t="e">
        <f>VLOOKUP(OB_Act[[#This Row],[Dump Area]],$AE$2:$AF$51,2,0)</f>
        <v>#N/A</v>
      </c>
      <c r="X171" s="126" t="str">
        <f>OB_Act[[#This Row],[Excavator]]&amp;OB_Act[[#This Row],[Contractor]]</f>
        <v/>
      </c>
      <c r="Y171" s="126" t="e">
        <f>IF(OB_Act[[#This Row],[Material]]="MUD",VLOOKUP(OB_Act[[#This Row],[Dump Truck]],Type_mud[[Nama DT]:[Type]],2,0),VLOOKUP(OB_Act[[#This Row],[Dump Truck]],Type_DT_OB[[Nama DT]:[Type]],4,0))</f>
        <v>#N/A</v>
      </c>
      <c r="Z171" s="126" t="e">
        <f>"JBG-OP1-CENTRAL-"&amp;VLOOKUP(OB_Act[[#This Row],[Pit]],$AK$2:$AL$9,2,0)&amp;"-WASTE-"&amp;OB_Act[[#This Row],[Material]]</f>
        <v>#N/A</v>
      </c>
      <c r="AA171" s="126" t="e">
        <f>"JBG-DUMP1-"&amp;VLOOKUP(OB_Act[[#This Row],[Dump]],$AF$2:$AG$55,2,0)&amp;"-"&amp;OB_Act[[#This Row],[Material]]</f>
        <v>#N/A</v>
      </c>
      <c r="AB171" s="126" t="str">
        <f>"JBG-"&amp;OB_Act[[#This Row],[Material]]</f>
        <v>JBG-</v>
      </c>
      <c r="BD171" s="105" t="str">
        <f>RIGHT(Type_DT_OB[[#This Row],[Nama DT]],3)</f>
        <v>945</v>
      </c>
      <c r="BE171" s="105" t="s">
        <v>550</v>
      </c>
      <c r="BF171" s="105">
        <v>9</v>
      </c>
      <c r="BG171" s="105">
        <v>7</v>
      </c>
      <c r="BH171" s="105" t="s">
        <v>545</v>
      </c>
      <c r="BI171" s="105" t="s">
        <v>546</v>
      </c>
      <c r="BK171" s="105" t="str">
        <f>RIGHT(Type_mud[[#This Row],[Nama DT]],3)</f>
        <v>945</v>
      </c>
      <c r="BL171" s="105" t="s">
        <v>550</v>
      </c>
      <c r="BM171" s="105" t="s">
        <v>645</v>
      </c>
    </row>
    <row r="172" spans="13:65">
      <c r="M172" s="105">
        <f>OB_Act[[#This Row],[Volume (BCM)]]*OB_Act[[#This Row],[Distance (Meter)]]</f>
        <v>0</v>
      </c>
      <c r="N172" s="105" t="str">
        <f>LEFT(OB_Act[[#This Row],[Dump Truck]],3)</f>
        <v/>
      </c>
      <c r="O172" s="126" t="str">
        <f>OB_Act[[#This Row],[Day]]&amp;OB_Act[[#This Row],[Excavator]]&amp;OB_Act[[#This Row],[Contractor]]&amp;OB_Act[[#This Row],[Pit]]&amp;OB_Act[[#This Row],[Shift]]</f>
        <v/>
      </c>
      <c r="P172" s="126">
        <f>1/COUNTIF(OB_Act[Dummy_Exc],OB_Act[[#This Row],[Dummy_Exc]])</f>
        <v>4.1841004184100415E-3</v>
      </c>
      <c r="Q172" s="105" t="str">
        <f>OB_Act[[#This Row],[Day]]&amp;OB_Act[[#This Row],[Dump Truck]]&amp;OB_Act[[#This Row],[Pit]]&amp;OB_Act[[#This Row],[Shift]]</f>
        <v/>
      </c>
      <c r="R172" s="126">
        <f>1/COUNTIF(OB_Act[Dummy_DT],OB_Act[[#This Row],[Dummy_DT]])</f>
        <v>4.1841004184100415E-3</v>
      </c>
      <c r="S172" s="126">
        <f>OB_Act[[#This Row],[Distance (Meter)]]*OB_Act[[#This Row],[Volume (BCM)]]</f>
        <v>0</v>
      </c>
      <c r="T172" s="105" t="str">
        <f>OB_Act[[#This Row],[Day]]&amp;OB_Act[[#This Row],[Dump Truck]]&amp;OB_Act[[#This Row],[Contractor]]&amp;OB_Act[[#This Row],[Excavator]]&amp;OB_Act[[#This Row],[Shift]]</f>
        <v/>
      </c>
      <c r="U172" s="126">
        <f>1/COUNTIF(OB_Act[Dummy_DT/Exc],OB_Act[[#This Row],[Dummy_DT/Exc]])</f>
        <v>4.1841004184100415E-3</v>
      </c>
      <c r="V172" s="126" t="e">
        <f>VLOOKUP(OB_Act[[#This Row],[Day]],$AO$2:$AR$32,4,0)</f>
        <v>#N/A</v>
      </c>
      <c r="W172" s="126" t="e">
        <f>VLOOKUP(OB_Act[[#This Row],[Dump Area]],$AE$2:$AF$51,2,0)</f>
        <v>#N/A</v>
      </c>
      <c r="X172" s="126" t="str">
        <f>OB_Act[[#This Row],[Excavator]]&amp;OB_Act[[#This Row],[Contractor]]</f>
        <v/>
      </c>
      <c r="Y172" s="126" t="e">
        <f>IF(OB_Act[[#This Row],[Material]]="MUD",VLOOKUP(OB_Act[[#This Row],[Dump Truck]],Type_mud[[Nama DT]:[Type]],2,0),VLOOKUP(OB_Act[[#This Row],[Dump Truck]],Type_DT_OB[[Nama DT]:[Type]],4,0))</f>
        <v>#N/A</v>
      </c>
      <c r="Z172" s="126" t="e">
        <f>"JBG-OP1-CENTRAL-"&amp;VLOOKUP(OB_Act[[#This Row],[Pit]],$AK$2:$AL$9,2,0)&amp;"-WASTE-"&amp;OB_Act[[#This Row],[Material]]</f>
        <v>#N/A</v>
      </c>
      <c r="AA172" s="126" t="e">
        <f>"JBG-DUMP1-"&amp;VLOOKUP(OB_Act[[#This Row],[Dump]],$AF$2:$AG$55,2,0)&amp;"-"&amp;OB_Act[[#This Row],[Material]]</f>
        <v>#N/A</v>
      </c>
      <c r="AB172" s="126" t="str">
        <f>"JBG-"&amp;OB_Act[[#This Row],[Material]]</f>
        <v>JBG-</v>
      </c>
      <c r="BD172" s="105" t="str">
        <f>RIGHT(Type_DT_OB[[#This Row],[Nama DT]],3)</f>
        <v>946</v>
      </c>
      <c r="BE172" s="105" t="s">
        <v>551</v>
      </c>
      <c r="BF172" s="105">
        <v>9</v>
      </c>
      <c r="BG172" s="105">
        <v>7</v>
      </c>
      <c r="BH172" s="105" t="s">
        <v>545</v>
      </c>
      <c r="BI172" s="105" t="s">
        <v>546</v>
      </c>
      <c r="BK172" s="105" t="str">
        <f>RIGHT(Type_mud[[#This Row],[Nama DT]],3)</f>
        <v>946</v>
      </c>
      <c r="BL172" s="105" t="s">
        <v>551</v>
      </c>
      <c r="BM172" s="105" t="s">
        <v>645</v>
      </c>
    </row>
    <row r="173" spans="13:65">
      <c r="M173" s="105">
        <f>OB_Act[[#This Row],[Volume (BCM)]]*OB_Act[[#This Row],[Distance (Meter)]]</f>
        <v>0</v>
      </c>
      <c r="N173" s="105" t="str">
        <f>LEFT(OB_Act[[#This Row],[Dump Truck]],3)</f>
        <v/>
      </c>
      <c r="O173" s="126" t="str">
        <f>OB_Act[[#This Row],[Day]]&amp;OB_Act[[#This Row],[Excavator]]&amp;OB_Act[[#This Row],[Contractor]]&amp;OB_Act[[#This Row],[Pit]]&amp;OB_Act[[#This Row],[Shift]]</f>
        <v/>
      </c>
      <c r="P173" s="126">
        <f>1/COUNTIF(OB_Act[Dummy_Exc],OB_Act[[#This Row],[Dummy_Exc]])</f>
        <v>4.1841004184100415E-3</v>
      </c>
      <c r="Q173" s="105" t="str">
        <f>OB_Act[[#This Row],[Day]]&amp;OB_Act[[#This Row],[Dump Truck]]&amp;OB_Act[[#This Row],[Pit]]&amp;OB_Act[[#This Row],[Shift]]</f>
        <v/>
      </c>
      <c r="R173" s="126">
        <f>1/COUNTIF(OB_Act[Dummy_DT],OB_Act[[#This Row],[Dummy_DT]])</f>
        <v>4.1841004184100415E-3</v>
      </c>
      <c r="S173" s="126">
        <f>OB_Act[[#This Row],[Distance (Meter)]]*OB_Act[[#This Row],[Volume (BCM)]]</f>
        <v>0</v>
      </c>
      <c r="T173" s="105" t="str">
        <f>OB_Act[[#This Row],[Day]]&amp;OB_Act[[#This Row],[Dump Truck]]&amp;OB_Act[[#This Row],[Contractor]]&amp;OB_Act[[#This Row],[Excavator]]&amp;OB_Act[[#This Row],[Shift]]</f>
        <v/>
      </c>
      <c r="U173" s="126">
        <f>1/COUNTIF(OB_Act[Dummy_DT/Exc],OB_Act[[#This Row],[Dummy_DT/Exc]])</f>
        <v>4.1841004184100415E-3</v>
      </c>
      <c r="V173" s="126" t="e">
        <f>VLOOKUP(OB_Act[[#This Row],[Day]],$AO$2:$AR$32,4,0)</f>
        <v>#N/A</v>
      </c>
      <c r="W173" s="126" t="e">
        <f>VLOOKUP(OB_Act[[#This Row],[Dump Area]],$AE$2:$AF$51,2,0)</f>
        <v>#N/A</v>
      </c>
      <c r="X173" s="126" t="str">
        <f>OB_Act[[#This Row],[Excavator]]&amp;OB_Act[[#This Row],[Contractor]]</f>
        <v/>
      </c>
      <c r="Y173" s="126" t="e">
        <f>IF(OB_Act[[#This Row],[Material]]="MUD",VLOOKUP(OB_Act[[#This Row],[Dump Truck]],Type_mud[[Nama DT]:[Type]],2,0),VLOOKUP(OB_Act[[#This Row],[Dump Truck]],Type_DT_OB[[Nama DT]:[Type]],4,0))</f>
        <v>#N/A</v>
      </c>
      <c r="Z173" s="126" t="e">
        <f>"JBG-OP1-CENTRAL-"&amp;VLOOKUP(OB_Act[[#This Row],[Pit]],$AK$2:$AL$9,2,0)&amp;"-WASTE-"&amp;OB_Act[[#This Row],[Material]]</f>
        <v>#N/A</v>
      </c>
      <c r="AA173" s="126" t="e">
        <f>"JBG-DUMP1-"&amp;VLOOKUP(OB_Act[[#This Row],[Dump]],$AF$2:$AG$55,2,0)&amp;"-"&amp;OB_Act[[#This Row],[Material]]</f>
        <v>#N/A</v>
      </c>
      <c r="AB173" s="126" t="str">
        <f>"JBG-"&amp;OB_Act[[#This Row],[Material]]</f>
        <v>JBG-</v>
      </c>
      <c r="BD173" s="105" t="str">
        <f>RIGHT(Type_DT_OB[[#This Row],[Nama DT]],3)</f>
        <v>947</v>
      </c>
      <c r="BE173" s="105" t="s">
        <v>552</v>
      </c>
      <c r="BF173" s="105">
        <v>9</v>
      </c>
      <c r="BG173" s="105">
        <v>7</v>
      </c>
      <c r="BH173" s="105" t="s">
        <v>545</v>
      </c>
      <c r="BI173" s="105" t="s">
        <v>546</v>
      </c>
      <c r="BK173" s="105" t="str">
        <f>RIGHT(Type_mud[[#This Row],[Nama DT]],3)</f>
        <v>947</v>
      </c>
      <c r="BL173" s="105" t="s">
        <v>552</v>
      </c>
      <c r="BM173" s="105" t="s">
        <v>645</v>
      </c>
    </row>
    <row r="174" spans="13:65">
      <c r="M174" s="105">
        <f>OB_Act[[#This Row],[Volume (BCM)]]*OB_Act[[#This Row],[Distance (Meter)]]</f>
        <v>0</v>
      </c>
      <c r="N174" s="105" t="str">
        <f>LEFT(OB_Act[[#This Row],[Dump Truck]],3)</f>
        <v/>
      </c>
      <c r="O174" s="126" t="str">
        <f>OB_Act[[#This Row],[Day]]&amp;OB_Act[[#This Row],[Excavator]]&amp;OB_Act[[#This Row],[Contractor]]&amp;OB_Act[[#This Row],[Pit]]&amp;OB_Act[[#This Row],[Shift]]</f>
        <v/>
      </c>
      <c r="P174" s="126">
        <f>1/COUNTIF(OB_Act[Dummy_Exc],OB_Act[[#This Row],[Dummy_Exc]])</f>
        <v>4.1841004184100415E-3</v>
      </c>
      <c r="Q174" s="105" t="str">
        <f>OB_Act[[#This Row],[Day]]&amp;OB_Act[[#This Row],[Dump Truck]]&amp;OB_Act[[#This Row],[Pit]]&amp;OB_Act[[#This Row],[Shift]]</f>
        <v/>
      </c>
      <c r="R174" s="126">
        <f>1/COUNTIF(OB_Act[Dummy_DT],OB_Act[[#This Row],[Dummy_DT]])</f>
        <v>4.1841004184100415E-3</v>
      </c>
      <c r="S174" s="126">
        <f>OB_Act[[#This Row],[Distance (Meter)]]*OB_Act[[#This Row],[Volume (BCM)]]</f>
        <v>0</v>
      </c>
      <c r="T174" s="105" t="str">
        <f>OB_Act[[#This Row],[Day]]&amp;OB_Act[[#This Row],[Dump Truck]]&amp;OB_Act[[#This Row],[Contractor]]&amp;OB_Act[[#This Row],[Excavator]]&amp;OB_Act[[#This Row],[Shift]]</f>
        <v/>
      </c>
      <c r="U174" s="126">
        <f>1/COUNTIF(OB_Act[Dummy_DT/Exc],OB_Act[[#This Row],[Dummy_DT/Exc]])</f>
        <v>4.1841004184100415E-3</v>
      </c>
      <c r="V174" s="126" t="e">
        <f>VLOOKUP(OB_Act[[#This Row],[Day]],$AO$2:$AR$32,4,0)</f>
        <v>#N/A</v>
      </c>
      <c r="W174" s="126" t="e">
        <f>VLOOKUP(OB_Act[[#This Row],[Dump Area]],$AE$2:$AF$51,2,0)</f>
        <v>#N/A</v>
      </c>
      <c r="X174" s="126" t="str">
        <f>OB_Act[[#This Row],[Excavator]]&amp;OB_Act[[#This Row],[Contractor]]</f>
        <v/>
      </c>
      <c r="Y174" s="126" t="e">
        <f>IF(OB_Act[[#This Row],[Material]]="MUD",VLOOKUP(OB_Act[[#This Row],[Dump Truck]],Type_mud[[Nama DT]:[Type]],2,0),VLOOKUP(OB_Act[[#This Row],[Dump Truck]],Type_DT_OB[[Nama DT]:[Type]],4,0))</f>
        <v>#N/A</v>
      </c>
      <c r="Z174" s="126" t="e">
        <f>"JBG-OP1-CENTRAL-"&amp;VLOOKUP(OB_Act[[#This Row],[Pit]],$AK$2:$AL$9,2,0)&amp;"-WASTE-"&amp;OB_Act[[#This Row],[Material]]</f>
        <v>#N/A</v>
      </c>
      <c r="AA174" s="126" t="e">
        <f>"JBG-DUMP1-"&amp;VLOOKUP(OB_Act[[#This Row],[Dump]],$AF$2:$AG$55,2,0)&amp;"-"&amp;OB_Act[[#This Row],[Material]]</f>
        <v>#N/A</v>
      </c>
      <c r="AB174" s="126" t="str">
        <f>"JBG-"&amp;OB_Act[[#This Row],[Material]]</f>
        <v>JBG-</v>
      </c>
      <c r="BD174" s="105" t="str">
        <f>RIGHT(Type_DT_OB[[#This Row],[Nama DT]],3)</f>
        <v>949</v>
      </c>
      <c r="BE174" s="105" t="s">
        <v>553</v>
      </c>
      <c r="BF174" s="105">
        <v>9</v>
      </c>
      <c r="BG174" s="105">
        <v>7</v>
      </c>
      <c r="BH174" s="105" t="s">
        <v>545</v>
      </c>
      <c r="BI174" s="105" t="s">
        <v>546</v>
      </c>
      <c r="BK174" s="105" t="str">
        <f>RIGHT(Type_mud[[#This Row],[Nama DT]],3)</f>
        <v>949</v>
      </c>
      <c r="BL174" s="105" t="s">
        <v>553</v>
      </c>
      <c r="BM174" s="105" t="s">
        <v>645</v>
      </c>
    </row>
    <row r="175" spans="13:65">
      <c r="M175" s="105">
        <f>OB_Act[[#This Row],[Volume (BCM)]]*OB_Act[[#This Row],[Distance (Meter)]]</f>
        <v>0</v>
      </c>
      <c r="N175" s="105" t="str">
        <f>LEFT(OB_Act[[#This Row],[Dump Truck]],3)</f>
        <v/>
      </c>
      <c r="O175" s="126" t="str">
        <f>OB_Act[[#This Row],[Day]]&amp;OB_Act[[#This Row],[Excavator]]&amp;OB_Act[[#This Row],[Contractor]]&amp;OB_Act[[#This Row],[Pit]]&amp;OB_Act[[#This Row],[Shift]]</f>
        <v/>
      </c>
      <c r="P175" s="126">
        <f>1/COUNTIF(OB_Act[Dummy_Exc],OB_Act[[#This Row],[Dummy_Exc]])</f>
        <v>4.1841004184100415E-3</v>
      </c>
      <c r="Q175" s="105" t="str">
        <f>OB_Act[[#This Row],[Day]]&amp;OB_Act[[#This Row],[Dump Truck]]&amp;OB_Act[[#This Row],[Pit]]&amp;OB_Act[[#This Row],[Shift]]</f>
        <v/>
      </c>
      <c r="R175" s="126">
        <f>1/COUNTIF(OB_Act[Dummy_DT],OB_Act[[#This Row],[Dummy_DT]])</f>
        <v>4.1841004184100415E-3</v>
      </c>
      <c r="S175" s="126">
        <f>OB_Act[[#This Row],[Distance (Meter)]]*OB_Act[[#This Row],[Volume (BCM)]]</f>
        <v>0</v>
      </c>
      <c r="T175" s="105" t="str">
        <f>OB_Act[[#This Row],[Day]]&amp;OB_Act[[#This Row],[Dump Truck]]&amp;OB_Act[[#This Row],[Contractor]]&amp;OB_Act[[#This Row],[Excavator]]&amp;OB_Act[[#This Row],[Shift]]</f>
        <v/>
      </c>
      <c r="U175" s="126">
        <f>1/COUNTIF(OB_Act[Dummy_DT/Exc],OB_Act[[#This Row],[Dummy_DT/Exc]])</f>
        <v>4.1841004184100415E-3</v>
      </c>
      <c r="V175" s="126" t="e">
        <f>VLOOKUP(OB_Act[[#This Row],[Day]],$AO$2:$AR$32,4,0)</f>
        <v>#N/A</v>
      </c>
      <c r="W175" s="126" t="e">
        <f>VLOOKUP(OB_Act[[#This Row],[Dump Area]],$AE$2:$AF$51,2,0)</f>
        <v>#N/A</v>
      </c>
      <c r="X175" s="126" t="str">
        <f>OB_Act[[#This Row],[Excavator]]&amp;OB_Act[[#This Row],[Contractor]]</f>
        <v/>
      </c>
      <c r="Y175" s="126" t="e">
        <f>IF(OB_Act[[#This Row],[Material]]="MUD",VLOOKUP(OB_Act[[#This Row],[Dump Truck]],Type_mud[[Nama DT]:[Type]],2,0),VLOOKUP(OB_Act[[#This Row],[Dump Truck]],Type_DT_OB[[Nama DT]:[Type]],4,0))</f>
        <v>#N/A</v>
      </c>
      <c r="Z175" s="126" t="e">
        <f>"JBG-OP1-CENTRAL-"&amp;VLOOKUP(OB_Act[[#This Row],[Pit]],$AK$2:$AL$9,2,0)&amp;"-WASTE-"&amp;OB_Act[[#This Row],[Material]]</f>
        <v>#N/A</v>
      </c>
      <c r="AA175" s="126" t="e">
        <f>"JBG-DUMP1-"&amp;VLOOKUP(OB_Act[[#This Row],[Dump]],$AF$2:$AG$55,2,0)&amp;"-"&amp;OB_Act[[#This Row],[Material]]</f>
        <v>#N/A</v>
      </c>
      <c r="AB175" s="126" t="str">
        <f>"JBG-"&amp;OB_Act[[#This Row],[Material]]</f>
        <v>JBG-</v>
      </c>
      <c r="BD175" s="105" t="str">
        <f>RIGHT(Type_DT_OB[[#This Row],[Nama DT]],3)</f>
        <v>950</v>
      </c>
      <c r="BE175" s="105" t="s">
        <v>554</v>
      </c>
      <c r="BF175" s="105">
        <v>9</v>
      </c>
      <c r="BG175" s="105">
        <v>7</v>
      </c>
      <c r="BH175" s="105" t="s">
        <v>545</v>
      </c>
      <c r="BI175" s="105" t="s">
        <v>546</v>
      </c>
      <c r="BK175" s="105" t="str">
        <f>RIGHT(Type_mud[[#This Row],[Nama DT]],3)</f>
        <v>950</v>
      </c>
      <c r="BL175" s="105" t="s">
        <v>554</v>
      </c>
      <c r="BM175" s="105" t="s">
        <v>645</v>
      </c>
    </row>
    <row r="176" spans="13:65">
      <c r="M176" s="105">
        <f>OB_Act[[#This Row],[Volume (BCM)]]*OB_Act[[#This Row],[Distance (Meter)]]</f>
        <v>0</v>
      </c>
      <c r="N176" s="105" t="str">
        <f>LEFT(OB_Act[[#This Row],[Dump Truck]],3)</f>
        <v/>
      </c>
      <c r="O176" s="126" t="str">
        <f>OB_Act[[#This Row],[Day]]&amp;OB_Act[[#This Row],[Excavator]]&amp;OB_Act[[#This Row],[Contractor]]&amp;OB_Act[[#This Row],[Pit]]&amp;OB_Act[[#This Row],[Shift]]</f>
        <v/>
      </c>
      <c r="P176" s="126">
        <f>1/COUNTIF(OB_Act[Dummy_Exc],OB_Act[[#This Row],[Dummy_Exc]])</f>
        <v>4.1841004184100415E-3</v>
      </c>
      <c r="Q176" s="105" t="str">
        <f>OB_Act[[#This Row],[Day]]&amp;OB_Act[[#This Row],[Dump Truck]]&amp;OB_Act[[#This Row],[Pit]]&amp;OB_Act[[#This Row],[Shift]]</f>
        <v/>
      </c>
      <c r="R176" s="126">
        <f>1/COUNTIF(OB_Act[Dummy_DT],OB_Act[[#This Row],[Dummy_DT]])</f>
        <v>4.1841004184100415E-3</v>
      </c>
      <c r="S176" s="126">
        <f>OB_Act[[#This Row],[Distance (Meter)]]*OB_Act[[#This Row],[Volume (BCM)]]</f>
        <v>0</v>
      </c>
      <c r="T176" s="105" t="str">
        <f>OB_Act[[#This Row],[Day]]&amp;OB_Act[[#This Row],[Dump Truck]]&amp;OB_Act[[#This Row],[Contractor]]&amp;OB_Act[[#This Row],[Excavator]]&amp;OB_Act[[#This Row],[Shift]]</f>
        <v/>
      </c>
      <c r="U176" s="126">
        <f>1/COUNTIF(OB_Act[Dummy_DT/Exc],OB_Act[[#This Row],[Dummy_DT/Exc]])</f>
        <v>4.1841004184100415E-3</v>
      </c>
      <c r="V176" s="126" t="e">
        <f>VLOOKUP(OB_Act[[#This Row],[Day]],$AO$2:$AR$32,4,0)</f>
        <v>#N/A</v>
      </c>
      <c r="W176" s="126" t="e">
        <f>VLOOKUP(OB_Act[[#This Row],[Dump Area]],$AE$2:$AF$51,2,0)</f>
        <v>#N/A</v>
      </c>
      <c r="X176" s="126" t="str">
        <f>OB_Act[[#This Row],[Excavator]]&amp;OB_Act[[#This Row],[Contractor]]</f>
        <v/>
      </c>
      <c r="Y176" s="126" t="e">
        <f>IF(OB_Act[[#This Row],[Material]]="MUD",VLOOKUP(OB_Act[[#This Row],[Dump Truck]],Type_mud[[Nama DT]:[Type]],2,0),VLOOKUP(OB_Act[[#This Row],[Dump Truck]],Type_DT_OB[[Nama DT]:[Type]],4,0))</f>
        <v>#N/A</v>
      </c>
      <c r="Z176" s="126" t="e">
        <f>"JBG-OP1-CENTRAL-"&amp;VLOOKUP(OB_Act[[#This Row],[Pit]],$AK$2:$AL$9,2,0)&amp;"-WASTE-"&amp;OB_Act[[#This Row],[Material]]</f>
        <v>#N/A</v>
      </c>
      <c r="AA176" s="126" t="e">
        <f>"JBG-DUMP1-"&amp;VLOOKUP(OB_Act[[#This Row],[Dump]],$AF$2:$AG$55,2,0)&amp;"-"&amp;OB_Act[[#This Row],[Material]]</f>
        <v>#N/A</v>
      </c>
      <c r="AB176" s="126" t="str">
        <f>"JBG-"&amp;OB_Act[[#This Row],[Material]]</f>
        <v>JBG-</v>
      </c>
      <c r="BD176" s="105" t="str">
        <f>RIGHT(Type_DT_OB[[#This Row],[Nama DT]],3)</f>
        <v>951</v>
      </c>
      <c r="BE176" s="105" t="s">
        <v>555</v>
      </c>
      <c r="BF176" s="105">
        <v>9</v>
      </c>
      <c r="BG176" s="105">
        <v>7</v>
      </c>
      <c r="BH176" s="105" t="s">
        <v>545</v>
      </c>
      <c r="BI176" s="105" t="s">
        <v>546</v>
      </c>
      <c r="BK176" s="105" t="str">
        <f>RIGHT(Type_mud[[#This Row],[Nama DT]],3)</f>
        <v>951</v>
      </c>
      <c r="BL176" s="105" t="s">
        <v>555</v>
      </c>
      <c r="BM176" s="105" t="s">
        <v>645</v>
      </c>
    </row>
    <row r="177" spans="13:65">
      <c r="M177" s="105">
        <f>OB_Act[[#This Row],[Volume (BCM)]]*OB_Act[[#This Row],[Distance (Meter)]]</f>
        <v>0</v>
      </c>
      <c r="N177" s="105" t="str">
        <f>LEFT(OB_Act[[#This Row],[Dump Truck]],3)</f>
        <v/>
      </c>
      <c r="O177" s="126" t="str">
        <f>OB_Act[[#This Row],[Day]]&amp;OB_Act[[#This Row],[Excavator]]&amp;OB_Act[[#This Row],[Contractor]]&amp;OB_Act[[#This Row],[Pit]]&amp;OB_Act[[#This Row],[Shift]]</f>
        <v/>
      </c>
      <c r="P177" s="126">
        <f>1/COUNTIF(OB_Act[Dummy_Exc],OB_Act[[#This Row],[Dummy_Exc]])</f>
        <v>4.1841004184100415E-3</v>
      </c>
      <c r="Q177" s="105" t="str">
        <f>OB_Act[[#This Row],[Day]]&amp;OB_Act[[#This Row],[Dump Truck]]&amp;OB_Act[[#This Row],[Pit]]&amp;OB_Act[[#This Row],[Shift]]</f>
        <v/>
      </c>
      <c r="R177" s="126">
        <f>1/COUNTIF(OB_Act[Dummy_DT],OB_Act[[#This Row],[Dummy_DT]])</f>
        <v>4.1841004184100415E-3</v>
      </c>
      <c r="S177" s="126">
        <f>OB_Act[[#This Row],[Distance (Meter)]]*OB_Act[[#This Row],[Volume (BCM)]]</f>
        <v>0</v>
      </c>
      <c r="T177" s="105" t="str">
        <f>OB_Act[[#This Row],[Day]]&amp;OB_Act[[#This Row],[Dump Truck]]&amp;OB_Act[[#This Row],[Contractor]]&amp;OB_Act[[#This Row],[Excavator]]&amp;OB_Act[[#This Row],[Shift]]</f>
        <v/>
      </c>
      <c r="U177" s="126">
        <f>1/COUNTIF(OB_Act[Dummy_DT/Exc],OB_Act[[#This Row],[Dummy_DT/Exc]])</f>
        <v>4.1841004184100415E-3</v>
      </c>
      <c r="V177" s="126" t="e">
        <f>VLOOKUP(OB_Act[[#This Row],[Day]],$AO$2:$AR$32,4,0)</f>
        <v>#N/A</v>
      </c>
      <c r="W177" s="126" t="e">
        <f>VLOOKUP(OB_Act[[#This Row],[Dump Area]],$AE$2:$AF$51,2,0)</f>
        <v>#N/A</v>
      </c>
      <c r="X177" s="126" t="str">
        <f>OB_Act[[#This Row],[Excavator]]&amp;OB_Act[[#This Row],[Contractor]]</f>
        <v/>
      </c>
      <c r="Y177" s="126" t="e">
        <f>IF(OB_Act[[#This Row],[Material]]="MUD",VLOOKUP(OB_Act[[#This Row],[Dump Truck]],Type_mud[[Nama DT]:[Type]],2,0),VLOOKUP(OB_Act[[#This Row],[Dump Truck]],Type_DT_OB[[Nama DT]:[Type]],4,0))</f>
        <v>#N/A</v>
      </c>
      <c r="Z177" s="126" t="e">
        <f>"JBG-OP1-CENTRAL-"&amp;VLOOKUP(OB_Act[[#This Row],[Pit]],$AK$2:$AL$9,2,0)&amp;"-WASTE-"&amp;OB_Act[[#This Row],[Material]]</f>
        <v>#N/A</v>
      </c>
      <c r="AA177" s="126" t="e">
        <f>"JBG-DUMP1-"&amp;VLOOKUP(OB_Act[[#This Row],[Dump]],$AF$2:$AG$55,2,0)&amp;"-"&amp;OB_Act[[#This Row],[Material]]</f>
        <v>#N/A</v>
      </c>
      <c r="AB177" s="126" t="str">
        <f>"JBG-"&amp;OB_Act[[#This Row],[Material]]</f>
        <v>JBG-</v>
      </c>
      <c r="BD177" s="105" t="str">
        <f>RIGHT(Type_DT_OB[[#This Row],[Nama DT]],3)</f>
        <v>952</v>
      </c>
      <c r="BE177" s="105" t="s">
        <v>556</v>
      </c>
      <c r="BF177" s="105">
        <v>9</v>
      </c>
      <c r="BG177" s="105">
        <v>7</v>
      </c>
      <c r="BH177" s="105" t="s">
        <v>545</v>
      </c>
      <c r="BI177" s="105" t="s">
        <v>546</v>
      </c>
      <c r="BK177" s="105" t="str">
        <f>RIGHT(Type_mud[[#This Row],[Nama DT]],3)</f>
        <v>952</v>
      </c>
      <c r="BL177" s="105" t="s">
        <v>556</v>
      </c>
      <c r="BM177" s="105" t="s">
        <v>645</v>
      </c>
    </row>
    <row r="178" spans="13:65">
      <c r="M178" s="105">
        <f>OB_Act[[#This Row],[Volume (BCM)]]*OB_Act[[#This Row],[Distance (Meter)]]</f>
        <v>0</v>
      </c>
      <c r="N178" s="105" t="str">
        <f>LEFT(OB_Act[[#This Row],[Dump Truck]],3)</f>
        <v/>
      </c>
      <c r="O178" s="126" t="str">
        <f>OB_Act[[#This Row],[Day]]&amp;OB_Act[[#This Row],[Excavator]]&amp;OB_Act[[#This Row],[Contractor]]&amp;OB_Act[[#This Row],[Pit]]&amp;OB_Act[[#This Row],[Shift]]</f>
        <v/>
      </c>
      <c r="P178" s="126">
        <f>1/COUNTIF(OB_Act[Dummy_Exc],OB_Act[[#This Row],[Dummy_Exc]])</f>
        <v>4.1841004184100415E-3</v>
      </c>
      <c r="Q178" s="105" t="str">
        <f>OB_Act[[#This Row],[Day]]&amp;OB_Act[[#This Row],[Dump Truck]]&amp;OB_Act[[#This Row],[Pit]]&amp;OB_Act[[#This Row],[Shift]]</f>
        <v/>
      </c>
      <c r="R178" s="126">
        <f>1/COUNTIF(OB_Act[Dummy_DT],OB_Act[[#This Row],[Dummy_DT]])</f>
        <v>4.1841004184100415E-3</v>
      </c>
      <c r="S178" s="126">
        <f>OB_Act[[#This Row],[Distance (Meter)]]*OB_Act[[#This Row],[Volume (BCM)]]</f>
        <v>0</v>
      </c>
      <c r="T178" s="105" t="str">
        <f>OB_Act[[#This Row],[Day]]&amp;OB_Act[[#This Row],[Dump Truck]]&amp;OB_Act[[#This Row],[Contractor]]&amp;OB_Act[[#This Row],[Excavator]]&amp;OB_Act[[#This Row],[Shift]]</f>
        <v/>
      </c>
      <c r="U178" s="126">
        <f>1/COUNTIF(OB_Act[Dummy_DT/Exc],OB_Act[[#This Row],[Dummy_DT/Exc]])</f>
        <v>4.1841004184100415E-3</v>
      </c>
      <c r="V178" s="126" t="e">
        <f>VLOOKUP(OB_Act[[#This Row],[Day]],$AO$2:$AR$32,4,0)</f>
        <v>#N/A</v>
      </c>
      <c r="W178" s="126" t="e">
        <f>VLOOKUP(OB_Act[[#This Row],[Dump Area]],$AE$2:$AF$51,2,0)</f>
        <v>#N/A</v>
      </c>
      <c r="X178" s="126" t="str">
        <f>OB_Act[[#This Row],[Excavator]]&amp;OB_Act[[#This Row],[Contractor]]</f>
        <v/>
      </c>
      <c r="Y178" s="126" t="e">
        <f>IF(OB_Act[[#This Row],[Material]]="MUD",VLOOKUP(OB_Act[[#This Row],[Dump Truck]],Type_mud[[Nama DT]:[Type]],2,0),VLOOKUP(OB_Act[[#This Row],[Dump Truck]],Type_DT_OB[[Nama DT]:[Type]],4,0))</f>
        <v>#N/A</v>
      </c>
      <c r="Z178" s="126" t="e">
        <f>"JBG-OP1-CENTRAL-"&amp;VLOOKUP(OB_Act[[#This Row],[Pit]],$AK$2:$AL$9,2,0)&amp;"-WASTE-"&amp;OB_Act[[#This Row],[Material]]</f>
        <v>#N/A</v>
      </c>
      <c r="AA178" s="126" t="e">
        <f>"JBG-DUMP1-"&amp;VLOOKUP(OB_Act[[#This Row],[Dump]],$AF$2:$AG$55,2,0)&amp;"-"&amp;OB_Act[[#This Row],[Material]]</f>
        <v>#N/A</v>
      </c>
      <c r="AB178" s="126" t="str">
        <f>"JBG-"&amp;OB_Act[[#This Row],[Material]]</f>
        <v>JBG-</v>
      </c>
      <c r="BD178" s="105" t="str">
        <f>RIGHT(Type_DT_OB[[#This Row],[Nama DT]],3)</f>
        <v>914</v>
      </c>
      <c r="BE178" s="105" t="s">
        <v>557</v>
      </c>
      <c r="BF178" s="105">
        <v>9</v>
      </c>
      <c r="BG178" s="105">
        <v>7</v>
      </c>
      <c r="BH178" s="105" t="s">
        <v>545</v>
      </c>
      <c r="BI178" s="105" t="s">
        <v>546</v>
      </c>
      <c r="BK178" s="105" t="str">
        <f>RIGHT(Type_mud[[#This Row],[Nama DT]],3)</f>
        <v>914</v>
      </c>
      <c r="BL178" s="105" t="s">
        <v>557</v>
      </c>
      <c r="BM178" s="105" t="s">
        <v>645</v>
      </c>
    </row>
    <row r="179" spans="13:65">
      <c r="M179" s="105">
        <f>OB_Act[[#This Row],[Volume (BCM)]]*OB_Act[[#This Row],[Distance (Meter)]]</f>
        <v>0</v>
      </c>
      <c r="N179" s="105" t="str">
        <f>LEFT(OB_Act[[#This Row],[Dump Truck]],3)</f>
        <v/>
      </c>
      <c r="O179" s="126" t="str">
        <f>OB_Act[[#This Row],[Day]]&amp;OB_Act[[#This Row],[Excavator]]&amp;OB_Act[[#This Row],[Contractor]]&amp;OB_Act[[#This Row],[Pit]]&amp;OB_Act[[#This Row],[Shift]]</f>
        <v/>
      </c>
      <c r="P179" s="126">
        <f>1/COUNTIF(OB_Act[Dummy_Exc],OB_Act[[#This Row],[Dummy_Exc]])</f>
        <v>4.1841004184100415E-3</v>
      </c>
      <c r="Q179" s="105" t="str">
        <f>OB_Act[[#This Row],[Day]]&amp;OB_Act[[#This Row],[Dump Truck]]&amp;OB_Act[[#This Row],[Pit]]&amp;OB_Act[[#This Row],[Shift]]</f>
        <v/>
      </c>
      <c r="R179" s="126">
        <f>1/COUNTIF(OB_Act[Dummy_DT],OB_Act[[#This Row],[Dummy_DT]])</f>
        <v>4.1841004184100415E-3</v>
      </c>
      <c r="S179" s="126">
        <f>OB_Act[[#This Row],[Distance (Meter)]]*OB_Act[[#This Row],[Volume (BCM)]]</f>
        <v>0</v>
      </c>
      <c r="T179" s="105" t="str">
        <f>OB_Act[[#This Row],[Day]]&amp;OB_Act[[#This Row],[Dump Truck]]&amp;OB_Act[[#This Row],[Contractor]]&amp;OB_Act[[#This Row],[Excavator]]&amp;OB_Act[[#This Row],[Shift]]</f>
        <v/>
      </c>
      <c r="U179" s="126">
        <f>1/COUNTIF(OB_Act[Dummy_DT/Exc],OB_Act[[#This Row],[Dummy_DT/Exc]])</f>
        <v>4.1841004184100415E-3</v>
      </c>
      <c r="V179" s="126" t="e">
        <f>VLOOKUP(OB_Act[[#This Row],[Day]],$AO$2:$AR$32,4,0)</f>
        <v>#N/A</v>
      </c>
      <c r="W179" s="126" t="e">
        <f>VLOOKUP(OB_Act[[#This Row],[Dump Area]],$AE$2:$AF$51,2,0)</f>
        <v>#N/A</v>
      </c>
      <c r="X179" s="126" t="str">
        <f>OB_Act[[#This Row],[Excavator]]&amp;OB_Act[[#This Row],[Contractor]]</f>
        <v/>
      </c>
      <c r="Y179" s="126" t="e">
        <f>IF(OB_Act[[#This Row],[Material]]="MUD",VLOOKUP(OB_Act[[#This Row],[Dump Truck]],Type_mud[[Nama DT]:[Type]],2,0),VLOOKUP(OB_Act[[#This Row],[Dump Truck]],Type_DT_OB[[Nama DT]:[Type]],4,0))</f>
        <v>#N/A</v>
      </c>
      <c r="Z179" s="126" t="e">
        <f>"JBG-OP1-CENTRAL-"&amp;VLOOKUP(OB_Act[[#This Row],[Pit]],$AK$2:$AL$9,2,0)&amp;"-WASTE-"&amp;OB_Act[[#This Row],[Material]]</f>
        <v>#N/A</v>
      </c>
      <c r="AA179" s="126" t="e">
        <f>"JBG-DUMP1-"&amp;VLOOKUP(OB_Act[[#This Row],[Dump]],$AF$2:$AG$55,2,0)&amp;"-"&amp;OB_Act[[#This Row],[Material]]</f>
        <v>#N/A</v>
      </c>
      <c r="AB179" s="126" t="str">
        <f>"JBG-"&amp;OB_Act[[#This Row],[Material]]</f>
        <v>JBG-</v>
      </c>
      <c r="BD179" s="105" t="str">
        <f>RIGHT(Type_DT_OB[[#This Row],[Nama DT]],3)</f>
        <v>948</v>
      </c>
      <c r="BE179" s="105" t="s">
        <v>558</v>
      </c>
      <c r="BF179" s="105">
        <v>9</v>
      </c>
      <c r="BG179" s="105">
        <v>7</v>
      </c>
      <c r="BH179" s="105" t="s">
        <v>545</v>
      </c>
      <c r="BI179" s="105" t="s">
        <v>546</v>
      </c>
      <c r="BK179" s="105" t="str">
        <f>RIGHT(Type_mud[[#This Row],[Nama DT]],3)</f>
        <v>948</v>
      </c>
      <c r="BL179" s="105" t="s">
        <v>558</v>
      </c>
      <c r="BM179" s="105" t="s">
        <v>645</v>
      </c>
    </row>
    <row r="180" spans="13:65">
      <c r="M180" s="105">
        <f>OB_Act[[#This Row],[Volume (BCM)]]*OB_Act[[#This Row],[Distance (Meter)]]</f>
        <v>0</v>
      </c>
      <c r="N180" s="105" t="str">
        <f>LEFT(OB_Act[[#This Row],[Dump Truck]],3)</f>
        <v/>
      </c>
      <c r="O180" s="126" t="str">
        <f>OB_Act[[#This Row],[Day]]&amp;OB_Act[[#This Row],[Excavator]]&amp;OB_Act[[#This Row],[Contractor]]&amp;OB_Act[[#This Row],[Pit]]&amp;OB_Act[[#This Row],[Shift]]</f>
        <v/>
      </c>
      <c r="P180" s="126">
        <f>1/COUNTIF(OB_Act[Dummy_Exc],OB_Act[[#This Row],[Dummy_Exc]])</f>
        <v>4.1841004184100415E-3</v>
      </c>
      <c r="Q180" s="105" t="str">
        <f>OB_Act[[#This Row],[Day]]&amp;OB_Act[[#This Row],[Dump Truck]]&amp;OB_Act[[#This Row],[Pit]]&amp;OB_Act[[#This Row],[Shift]]</f>
        <v/>
      </c>
      <c r="R180" s="126">
        <f>1/COUNTIF(OB_Act[Dummy_DT],OB_Act[[#This Row],[Dummy_DT]])</f>
        <v>4.1841004184100415E-3</v>
      </c>
      <c r="S180" s="126">
        <f>OB_Act[[#This Row],[Distance (Meter)]]*OB_Act[[#This Row],[Volume (BCM)]]</f>
        <v>0</v>
      </c>
      <c r="T180" s="105" t="str">
        <f>OB_Act[[#This Row],[Day]]&amp;OB_Act[[#This Row],[Dump Truck]]&amp;OB_Act[[#This Row],[Contractor]]&amp;OB_Act[[#This Row],[Excavator]]&amp;OB_Act[[#This Row],[Shift]]</f>
        <v/>
      </c>
      <c r="U180" s="126">
        <f>1/COUNTIF(OB_Act[Dummy_DT/Exc],OB_Act[[#This Row],[Dummy_DT/Exc]])</f>
        <v>4.1841004184100415E-3</v>
      </c>
      <c r="V180" s="126" t="e">
        <f>VLOOKUP(OB_Act[[#This Row],[Day]],$AO$2:$AR$32,4,0)</f>
        <v>#N/A</v>
      </c>
      <c r="W180" s="126" t="e">
        <f>VLOOKUP(OB_Act[[#This Row],[Dump Area]],$AE$2:$AF$51,2,0)</f>
        <v>#N/A</v>
      </c>
      <c r="X180" s="126" t="str">
        <f>OB_Act[[#This Row],[Excavator]]&amp;OB_Act[[#This Row],[Contractor]]</f>
        <v/>
      </c>
      <c r="Y180" s="126" t="e">
        <f>IF(OB_Act[[#This Row],[Material]]="MUD",VLOOKUP(OB_Act[[#This Row],[Dump Truck]],Type_mud[[Nama DT]:[Type]],2,0),VLOOKUP(OB_Act[[#This Row],[Dump Truck]],Type_DT_OB[[Nama DT]:[Type]],4,0))</f>
        <v>#N/A</v>
      </c>
      <c r="Z180" s="126" t="e">
        <f>"JBG-OP1-CENTRAL-"&amp;VLOOKUP(OB_Act[[#This Row],[Pit]],$AK$2:$AL$9,2,0)&amp;"-WASTE-"&amp;OB_Act[[#This Row],[Material]]</f>
        <v>#N/A</v>
      </c>
      <c r="AA180" s="126" t="e">
        <f>"JBG-DUMP1-"&amp;VLOOKUP(OB_Act[[#This Row],[Dump]],$AF$2:$AG$55,2,0)&amp;"-"&amp;OB_Act[[#This Row],[Material]]</f>
        <v>#N/A</v>
      </c>
      <c r="AB180" s="126" t="str">
        <f>"JBG-"&amp;OB_Act[[#This Row],[Material]]</f>
        <v>JBG-</v>
      </c>
    </row>
    <row r="181" spans="13:65">
      <c r="M181" s="105">
        <f>OB_Act[[#This Row],[Volume (BCM)]]*OB_Act[[#This Row],[Distance (Meter)]]</f>
        <v>0</v>
      </c>
      <c r="N181" s="105" t="str">
        <f>LEFT(OB_Act[[#This Row],[Dump Truck]],3)</f>
        <v/>
      </c>
      <c r="O181" s="126" t="str">
        <f>OB_Act[[#This Row],[Day]]&amp;OB_Act[[#This Row],[Excavator]]&amp;OB_Act[[#This Row],[Contractor]]&amp;OB_Act[[#This Row],[Pit]]&amp;OB_Act[[#This Row],[Shift]]</f>
        <v/>
      </c>
      <c r="P181" s="126">
        <f>1/COUNTIF(OB_Act[Dummy_Exc],OB_Act[[#This Row],[Dummy_Exc]])</f>
        <v>4.1841004184100415E-3</v>
      </c>
      <c r="Q181" s="105" t="str">
        <f>OB_Act[[#This Row],[Day]]&amp;OB_Act[[#This Row],[Dump Truck]]&amp;OB_Act[[#This Row],[Pit]]&amp;OB_Act[[#This Row],[Shift]]</f>
        <v/>
      </c>
      <c r="R181" s="126">
        <f>1/COUNTIF(OB_Act[Dummy_DT],OB_Act[[#This Row],[Dummy_DT]])</f>
        <v>4.1841004184100415E-3</v>
      </c>
      <c r="S181" s="126">
        <f>OB_Act[[#This Row],[Distance (Meter)]]*OB_Act[[#This Row],[Volume (BCM)]]</f>
        <v>0</v>
      </c>
      <c r="T181" s="105" t="str">
        <f>OB_Act[[#This Row],[Day]]&amp;OB_Act[[#This Row],[Dump Truck]]&amp;OB_Act[[#This Row],[Contractor]]&amp;OB_Act[[#This Row],[Excavator]]&amp;OB_Act[[#This Row],[Shift]]</f>
        <v/>
      </c>
      <c r="U181" s="126">
        <f>1/COUNTIF(OB_Act[Dummy_DT/Exc],OB_Act[[#This Row],[Dummy_DT/Exc]])</f>
        <v>4.1841004184100415E-3</v>
      </c>
      <c r="V181" s="126" t="e">
        <f>VLOOKUP(OB_Act[[#This Row],[Day]],$AO$2:$AR$32,4,0)</f>
        <v>#N/A</v>
      </c>
      <c r="W181" s="126" t="e">
        <f>VLOOKUP(OB_Act[[#This Row],[Dump Area]],$AE$2:$AF$51,2,0)</f>
        <v>#N/A</v>
      </c>
      <c r="X181" s="126" t="str">
        <f>OB_Act[[#This Row],[Excavator]]&amp;OB_Act[[#This Row],[Contractor]]</f>
        <v/>
      </c>
      <c r="Y181" s="126" t="e">
        <f>IF(OB_Act[[#This Row],[Material]]="MUD",VLOOKUP(OB_Act[[#This Row],[Dump Truck]],Type_mud[[Nama DT]:[Type]],2,0),VLOOKUP(OB_Act[[#This Row],[Dump Truck]],Type_DT_OB[[Nama DT]:[Type]],4,0))</f>
        <v>#N/A</v>
      </c>
      <c r="Z181" s="126" t="e">
        <f>"JBG-OP1-CENTRAL-"&amp;VLOOKUP(OB_Act[[#This Row],[Pit]],$AK$2:$AL$9,2,0)&amp;"-WASTE-"&amp;OB_Act[[#This Row],[Material]]</f>
        <v>#N/A</v>
      </c>
      <c r="AA181" s="126" t="e">
        <f>"JBG-DUMP1-"&amp;VLOOKUP(OB_Act[[#This Row],[Dump]],$AF$2:$AG$55,2,0)&amp;"-"&amp;OB_Act[[#This Row],[Material]]</f>
        <v>#N/A</v>
      </c>
      <c r="AB181" s="126" t="str">
        <f>"JBG-"&amp;OB_Act[[#This Row],[Material]]</f>
        <v>JBG-</v>
      </c>
    </row>
    <row r="182" spans="13:65">
      <c r="M182" s="105">
        <f>OB_Act[[#This Row],[Volume (BCM)]]*OB_Act[[#This Row],[Distance (Meter)]]</f>
        <v>0</v>
      </c>
      <c r="N182" s="105" t="str">
        <f>LEFT(OB_Act[[#This Row],[Dump Truck]],3)</f>
        <v/>
      </c>
      <c r="O182" s="126" t="str">
        <f>OB_Act[[#This Row],[Day]]&amp;OB_Act[[#This Row],[Excavator]]&amp;OB_Act[[#This Row],[Contractor]]&amp;OB_Act[[#This Row],[Pit]]&amp;OB_Act[[#This Row],[Shift]]</f>
        <v/>
      </c>
      <c r="P182" s="126">
        <f>1/COUNTIF(OB_Act[Dummy_Exc],OB_Act[[#This Row],[Dummy_Exc]])</f>
        <v>4.1841004184100415E-3</v>
      </c>
      <c r="Q182" s="105" t="str">
        <f>OB_Act[[#This Row],[Day]]&amp;OB_Act[[#This Row],[Dump Truck]]&amp;OB_Act[[#This Row],[Pit]]&amp;OB_Act[[#This Row],[Shift]]</f>
        <v/>
      </c>
      <c r="R182" s="126">
        <f>1/COUNTIF(OB_Act[Dummy_DT],OB_Act[[#This Row],[Dummy_DT]])</f>
        <v>4.1841004184100415E-3</v>
      </c>
      <c r="S182" s="126">
        <f>OB_Act[[#This Row],[Distance (Meter)]]*OB_Act[[#This Row],[Volume (BCM)]]</f>
        <v>0</v>
      </c>
      <c r="T182" s="105" t="str">
        <f>OB_Act[[#This Row],[Day]]&amp;OB_Act[[#This Row],[Dump Truck]]&amp;OB_Act[[#This Row],[Contractor]]&amp;OB_Act[[#This Row],[Excavator]]&amp;OB_Act[[#This Row],[Shift]]</f>
        <v/>
      </c>
      <c r="U182" s="126">
        <f>1/COUNTIF(OB_Act[Dummy_DT/Exc],OB_Act[[#This Row],[Dummy_DT/Exc]])</f>
        <v>4.1841004184100415E-3</v>
      </c>
      <c r="V182" s="126" t="e">
        <f>VLOOKUP(OB_Act[[#This Row],[Day]],$AO$2:$AR$32,4,0)</f>
        <v>#N/A</v>
      </c>
      <c r="W182" s="126" t="e">
        <f>VLOOKUP(OB_Act[[#This Row],[Dump Area]],$AE$2:$AF$51,2,0)</f>
        <v>#N/A</v>
      </c>
      <c r="X182" s="126" t="str">
        <f>OB_Act[[#This Row],[Excavator]]&amp;OB_Act[[#This Row],[Contractor]]</f>
        <v/>
      </c>
      <c r="Y182" s="126" t="e">
        <f>IF(OB_Act[[#This Row],[Material]]="MUD",VLOOKUP(OB_Act[[#This Row],[Dump Truck]],Type_mud[[Nama DT]:[Type]],2,0),VLOOKUP(OB_Act[[#This Row],[Dump Truck]],Type_DT_OB[[Nama DT]:[Type]],4,0))</f>
        <v>#N/A</v>
      </c>
      <c r="Z182" s="126" t="e">
        <f>"JBG-OP1-CENTRAL-"&amp;VLOOKUP(OB_Act[[#This Row],[Pit]],$AK$2:$AL$9,2,0)&amp;"-WASTE-"&amp;OB_Act[[#This Row],[Material]]</f>
        <v>#N/A</v>
      </c>
      <c r="AA182" s="126" t="e">
        <f>"JBG-DUMP1-"&amp;VLOOKUP(OB_Act[[#This Row],[Dump]],$AF$2:$AG$55,2,0)&amp;"-"&amp;OB_Act[[#This Row],[Material]]</f>
        <v>#N/A</v>
      </c>
      <c r="AB182" s="126" t="str">
        <f>"JBG-"&amp;OB_Act[[#This Row],[Material]]</f>
        <v>JBG-</v>
      </c>
    </row>
    <row r="183" spans="13:65">
      <c r="M183" s="105">
        <f>OB_Act[[#This Row],[Volume (BCM)]]*OB_Act[[#This Row],[Distance (Meter)]]</f>
        <v>0</v>
      </c>
      <c r="N183" s="105" t="str">
        <f>LEFT(OB_Act[[#This Row],[Dump Truck]],3)</f>
        <v/>
      </c>
      <c r="O183" s="126" t="str">
        <f>OB_Act[[#This Row],[Day]]&amp;OB_Act[[#This Row],[Excavator]]&amp;OB_Act[[#This Row],[Contractor]]&amp;OB_Act[[#This Row],[Pit]]&amp;OB_Act[[#This Row],[Shift]]</f>
        <v/>
      </c>
      <c r="P183" s="126">
        <f>1/COUNTIF(OB_Act[Dummy_Exc],OB_Act[[#This Row],[Dummy_Exc]])</f>
        <v>4.1841004184100415E-3</v>
      </c>
      <c r="Q183" s="105" t="str">
        <f>OB_Act[[#This Row],[Day]]&amp;OB_Act[[#This Row],[Dump Truck]]&amp;OB_Act[[#This Row],[Pit]]&amp;OB_Act[[#This Row],[Shift]]</f>
        <v/>
      </c>
      <c r="R183" s="126">
        <f>1/COUNTIF(OB_Act[Dummy_DT],OB_Act[[#This Row],[Dummy_DT]])</f>
        <v>4.1841004184100415E-3</v>
      </c>
      <c r="S183" s="126">
        <f>OB_Act[[#This Row],[Distance (Meter)]]*OB_Act[[#This Row],[Volume (BCM)]]</f>
        <v>0</v>
      </c>
      <c r="T183" s="105" t="str">
        <f>OB_Act[[#This Row],[Day]]&amp;OB_Act[[#This Row],[Dump Truck]]&amp;OB_Act[[#This Row],[Contractor]]&amp;OB_Act[[#This Row],[Excavator]]&amp;OB_Act[[#This Row],[Shift]]</f>
        <v/>
      </c>
      <c r="U183" s="126">
        <f>1/COUNTIF(OB_Act[Dummy_DT/Exc],OB_Act[[#This Row],[Dummy_DT/Exc]])</f>
        <v>4.1841004184100415E-3</v>
      </c>
      <c r="V183" s="126" t="e">
        <f>VLOOKUP(OB_Act[[#This Row],[Day]],$AO$2:$AR$32,4,0)</f>
        <v>#N/A</v>
      </c>
      <c r="W183" s="126" t="e">
        <f>VLOOKUP(OB_Act[[#This Row],[Dump Area]],$AE$2:$AF$51,2,0)</f>
        <v>#N/A</v>
      </c>
      <c r="X183" s="126" t="str">
        <f>OB_Act[[#This Row],[Excavator]]&amp;OB_Act[[#This Row],[Contractor]]</f>
        <v/>
      </c>
      <c r="Y183" s="126" t="e">
        <f>IF(OB_Act[[#This Row],[Material]]="MUD",VLOOKUP(OB_Act[[#This Row],[Dump Truck]],Type_mud[[Nama DT]:[Type]],2,0),VLOOKUP(OB_Act[[#This Row],[Dump Truck]],Type_DT_OB[[Nama DT]:[Type]],4,0))</f>
        <v>#N/A</v>
      </c>
      <c r="Z183" s="126" t="e">
        <f>"JBG-OP1-CENTRAL-"&amp;VLOOKUP(OB_Act[[#This Row],[Pit]],$AK$2:$AL$9,2,0)&amp;"-WASTE-"&amp;OB_Act[[#This Row],[Material]]</f>
        <v>#N/A</v>
      </c>
      <c r="AA183" s="126" t="e">
        <f>"JBG-DUMP1-"&amp;VLOOKUP(OB_Act[[#This Row],[Dump]],$AF$2:$AG$55,2,0)&amp;"-"&amp;OB_Act[[#This Row],[Material]]</f>
        <v>#N/A</v>
      </c>
      <c r="AB183" s="126" t="str">
        <f>"JBG-"&amp;OB_Act[[#This Row],[Material]]</f>
        <v>JBG-</v>
      </c>
    </row>
    <row r="184" spans="13:65">
      <c r="M184" s="105">
        <f>OB_Act[[#This Row],[Volume (BCM)]]*OB_Act[[#This Row],[Distance (Meter)]]</f>
        <v>0</v>
      </c>
      <c r="N184" s="105" t="str">
        <f>LEFT(OB_Act[[#This Row],[Dump Truck]],3)</f>
        <v/>
      </c>
      <c r="O184" s="126" t="str">
        <f>OB_Act[[#This Row],[Day]]&amp;OB_Act[[#This Row],[Excavator]]&amp;OB_Act[[#This Row],[Contractor]]&amp;OB_Act[[#This Row],[Pit]]&amp;OB_Act[[#This Row],[Shift]]</f>
        <v/>
      </c>
      <c r="P184" s="126">
        <f>1/COUNTIF(OB_Act[Dummy_Exc],OB_Act[[#This Row],[Dummy_Exc]])</f>
        <v>4.1841004184100415E-3</v>
      </c>
      <c r="Q184" s="105" t="str">
        <f>OB_Act[[#This Row],[Day]]&amp;OB_Act[[#This Row],[Dump Truck]]&amp;OB_Act[[#This Row],[Pit]]&amp;OB_Act[[#This Row],[Shift]]</f>
        <v/>
      </c>
      <c r="R184" s="126">
        <f>1/COUNTIF(OB_Act[Dummy_DT],OB_Act[[#This Row],[Dummy_DT]])</f>
        <v>4.1841004184100415E-3</v>
      </c>
      <c r="S184" s="126">
        <f>OB_Act[[#This Row],[Distance (Meter)]]*OB_Act[[#This Row],[Volume (BCM)]]</f>
        <v>0</v>
      </c>
      <c r="T184" s="105" t="str">
        <f>OB_Act[[#This Row],[Day]]&amp;OB_Act[[#This Row],[Dump Truck]]&amp;OB_Act[[#This Row],[Contractor]]&amp;OB_Act[[#This Row],[Excavator]]&amp;OB_Act[[#This Row],[Shift]]</f>
        <v/>
      </c>
      <c r="U184" s="126">
        <f>1/COUNTIF(OB_Act[Dummy_DT/Exc],OB_Act[[#This Row],[Dummy_DT/Exc]])</f>
        <v>4.1841004184100415E-3</v>
      </c>
      <c r="V184" s="126" t="e">
        <f>VLOOKUP(OB_Act[[#This Row],[Day]],$AO$2:$AR$32,4,0)</f>
        <v>#N/A</v>
      </c>
      <c r="W184" s="126" t="e">
        <f>VLOOKUP(OB_Act[[#This Row],[Dump Area]],$AE$2:$AF$51,2,0)</f>
        <v>#N/A</v>
      </c>
      <c r="X184" s="126" t="str">
        <f>OB_Act[[#This Row],[Excavator]]&amp;OB_Act[[#This Row],[Contractor]]</f>
        <v/>
      </c>
      <c r="Y184" s="126" t="e">
        <f>IF(OB_Act[[#This Row],[Material]]="MUD",VLOOKUP(OB_Act[[#This Row],[Dump Truck]],Type_mud[[Nama DT]:[Type]],2,0),VLOOKUP(OB_Act[[#This Row],[Dump Truck]],Type_DT_OB[[Nama DT]:[Type]],4,0))</f>
        <v>#N/A</v>
      </c>
      <c r="Z184" s="126" t="e">
        <f>"JBG-OP1-CENTRAL-"&amp;VLOOKUP(OB_Act[[#This Row],[Pit]],$AK$2:$AL$9,2,0)&amp;"-WASTE-"&amp;OB_Act[[#This Row],[Material]]</f>
        <v>#N/A</v>
      </c>
      <c r="AA184" s="126" t="e">
        <f>"JBG-DUMP1-"&amp;VLOOKUP(OB_Act[[#This Row],[Dump]],$AF$2:$AG$55,2,0)&amp;"-"&amp;OB_Act[[#This Row],[Material]]</f>
        <v>#N/A</v>
      </c>
      <c r="AB184" s="126" t="str">
        <f>"JBG-"&amp;OB_Act[[#This Row],[Material]]</f>
        <v>JBG-</v>
      </c>
    </row>
    <row r="185" spans="13:65">
      <c r="M185" s="105">
        <f>OB_Act[[#This Row],[Volume (BCM)]]*OB_Act[[#This Row],[Distance (Meter)]]</f>
        <v>0</v>
      </c>
      <c r="N185" s="105" t="str">
        <f>LEFT(OB_Act[[#This Row],[Dump Truck]],3)</f>
        <v/>
      </c>
      <c r="O185" s="126" t="str">
        <f>OB_Act[[#This Row],[Day]]&amp;OB_Act[[#This Row],[Excavator]]&amp;OB_Act[[#This Row],[Contractor]]&amp;OB_Act[[#This Row],[Pit]]&amp;OB_Act[[#This Row],[Shift]]</f>
        <v/>
      </c>
      <c r="P185" s="126">
        <f>1/COUNTIF(OB_Act[Dummy_Exc],OB_Act[[#This Row],[Dummy_Exc]])</f>
        <v>4.1841004184100415E-3</v>
      </c>
      <c r="Q185" s="105" t="str">
        <f>OB_Act[[#This Row],[Day]]&amp;OB_Act[[#This Row],[Dump Truck]]&amp;OB_Act[[#This Row],[Pit]]&amp;OB_Act[[#This Row],[Shift]]</f>
        <v/>
      </c>
      <c r="R185" s="126">
        <f>1/COUNTIF(OB_Act[Dummy_DT],OB_Act[[#This Row],[Dummy_DT]])</f>
        <v>4.1841004184100415E-3</v>
      </c>
      <c r="S185" s="126">
        <f>OB_Act[[#This Row],[Distance (Meter)]]*OB_Act[[#This Row],[Volume (BCM)]]</f>
        <v>0</v>
      </c>
      <c r="T185" s="105" t="str">
        <f>OB_Act[[#This Row],[Day]]&amp;OB_Act[[#This Row],[Dump Truck]]&amp;OB_Act[[#This Row],[Contractor]]&amp;OB_Act[[#This Row],[Excavator]]&amp;OB_Act[[#This Row],[Shift]]</f>
        <v/>
      </c>
      <c r="U185" s="126">
        <f>1/COUNTIF(OB_Act[Dummy_DT/Exc],OB_Act[[#This Row],[Dummy_DT/Exc]])</f>
        <v>4.1841004184100415E-3</v>
      </c>
      <c r="V185" s="126" t="e">
        <f>VLOOKUP(OB_Act[[#This Row],[Day]],$AO$2:$AR$32,4,0)</f>
        <v>#N/A</v>
      </c>
      <c r="W185" s="126" t="e">
        <f>VLOOKUP(OB_Act[[#This Row],[Dump Area]],$AE$2:$AF$51,2,0)</f>
        <v>#N/A</v>
      </c>
      <c r="X185" s="126" t="str">
        <f>OB_Act[[#This Row],[Excavator]]&amp;OB_Act[[#This Row],[Contractor]]</f>
        <v/>
      </c>
      <c r="Y185" s="126" t="e">
        <f>IF(OB_Act[[#This Row],[Material]]="MUD",VLOOKUP(OB_Act[[#This Row],[Dump Truck]],Type_mud[[Nama DT]:[Type]],2,0),VLOOKUP(OB_Act[[#This Row],[Dump Truck]],Type_DT_OB[[Nama DT]:[Type]],4,0))</f>
        <v>#N/A</v>
      </c>
      <c r="Z185" s="126" t="e">
        <f>"JBG-OP1-CENTRAL-"&amp;VLOOKUP(OB_Act[[#This Row],[Pit]],$AK$2:$AL$9,2,0)&amp;"-WASTE-"&amp;OB_Act[[#This Row],[Material]]</f>
        <v>#N/A</v>
      </c>
      <c r="AA185" s="126" t="e">
        <f>"JBG-DUMP1-"&amp;VLOOKUP(OB_Act[[#This Row],[Dump]],$AF$2:$AG$55,2,0)&amp;"-"&amp;OB_Act[[#This Row],[Material]]</f>
        <v>#N/A</v>
      </c>
      <c r="AB185" s="126" t="str">
        <f>"JBG-"&amp;OB_Act[[#This Row],[Material]]</f>
        <v>JBG-</v>
      </c>
    </row>
    <row r="186" spans="13:65">
      <c r="M186" s="105">
        <f>OB_Act[[#This Row],[Volume (BCM)]]*OB_Act[[#This Row],[Distance (Meter)]]</f>
        <v>0</v>
      </c>
      <c r="N186" s="105" t="str">
        <f>LEFT(OB_Act[[#This Row],[Dump Truck]],3)</f>
        <v/>
      </c>
      <c r="O186" s="126" t="str">
        <f>OB_Act[[#This Row],[Day]]&amp;OB_Act[[#This Row],[Excavator]]&amp;OB_Act[[#This Row],[Contractor]]&amp;OB_Act[[#This Row],[Pit]]&amp;OB_Act[[#This Row],[Shift]]</f>
        <v/>
      </c>
      <c r="P186" s="126">
        <f>1/COUNTIF(OB_Act[Dummy_Exc],OB_Act[[#This Row],[Dummy_Exc]])</f>
        <v>4.1841004184100415E-3</v>
      </c>
      <c r="Q186" s="105" t="str">
        <f>OB_Act[[#This Row],[Day]]&amp;OB_Act[[#This Row],[Dump Truck]]&amp;OB_Act[[#This Row],[Pit]]&amp;OB_Act[[#This Row],[Shift]]</f>
        <v/>
      </c>
      <c r="R186" s="126">
        <f>1/COUNTIF(OB_Act[Dummy_DT],OB_Act[[#This Row],[Dummy_DT]])</f>
        <v>4.1841004184100415E-3</v>
      </c>
      <c r="S186" s="126">
        <f>OB_Act[[#This Row],[Distance (Meter)]]*OB_Act[[#This Row],[Volume (BCM)]]</f>
        <v>0</v>
      </c>
      <c r="T186" s="105" t="str">
        <f>OB_Act[[#This Row],[Day]]&amp;OB_Act[[#This Row],[Dump Truck]]&amp;OB_Act[[#This Row],[Contractor]]&amp;OB_Act[[#This Row],[Excavator]]&amp;OB_Act[[#This Row],[Shift]]</f>
        <v/>
      </c>
      <c r="U186" s="126">
        <f>1/COUNTIF(OB_Act[Dummy_DT/Exc],OB_Act[[#This Row],[Dummy_DT/Exc]])</f>
        <v>4.1841004184100415E-3</v>
      </c>
      <c r="V186" s="126" t="e">
        <f>VLOOKUP(OB_Act[[#This Row],[Day]],$AO$2:$AR$32,4,0)</f>
        <v>#N/A</v>
      </c>
      <c r="W186" s="126" t="e">
        <f>VLOOKUP(OB_Act[[#This Row],[Dump Area]],$AE$2:$AF$51,2,0)</f>
        <v>#N/A</v>
      </c>
      <c r="X186" s="126" t="str">
        <f>OB_Act[[#This Row],[Excavator]]&amp;OB_Act[[#This Row],[Contractor]]</f>
        <v/>
      </c>
      <c r="Y186" s="126" t="e">
        <f>IF(OB_Act[[#This Row],[Material]]="MUD",VLOOKUP(OB_Act[[#This Row],[Dump Truck]],Type_mud[[Nama DT]:[Type]],2,0),VLOOKUP(OB_Act[[#This Row],[Dump Truck]],Type_DT_OB[[Nama DT]:[Type]],4,0))</f>
        <v>#N/A</v>
      </c>
      <c r="Z186" s="126" t="e">
        <f>"JBG-OP1-CENTRAL-"&amp;VLOOKUP(OB_Act[[#This Row],[Pit]],$AK$2:$AL$9,2,0)&amp;"-WASTE-"&amp;OB_Act[[#This Row],[Material]]</f>
        <v>#N/A</v>
      </c>
      <c r="AA186" s="126" t="e">
        <f>"JBG-DUMP1-"&amp;VLOOKUP(OB_Act[[#This Row],[Dump]],$AF$2:$AG$55,2,0)&amp;"-"&amp;OB_Act[[#This Row],[Material]]</f>
        <v>#N/A</v>
      </c>
      <c r="AB186" s="126" t="str">
        <f>"JBG-"&amp;OB_Act[[#This Row],[Material]]</f>
        <v>JBG-</v>
      </c>
    </row>
    <row r="187" spans="13:65">
      <c r="M187" s="105">
        <f>OB_Act[[#This Row],[Volume (BCM)]]*OB_Act[[#This Row],[Distance (Meter)]]</f>
        <v>0</v>
      </c>
      <c r="N187" s="105" t="str">
        <f>LEFT(OB_Act[[#This Row],[Dump Truck]],3)</f>
        <v/>
      </c>
      <c r="O187" s="126" t="str">
        <f>OB_Act[[#This Row],[Day]]&amp;OB_Act[[#This Row],[Excavator]]&amp;OB_Act[[#This Row],[Contractor]]&amp;OB_Act[[#This Row],[Pit]]&amp;OB_Act[[#This Row],[Shift]]</f>
        <v/>
      </c>
      <c r="P187" s="126">
        <f>1/COUNTIF(OB_Act[Dummy_Exc],OB_Act[[#This Row],[Dummy_Exc]])</f>
        <v>4.1841004184100415E-3</v>
      </c>
      <c r="Q187" s="105" t="str">
        <f>OB_Act[[#This Row],[Day]]&amp;OB_Act[[#This Row],[Dump Truck]]&amp;OB_Act[[#This Row],[Pit]]&amp;OB_Act[[#This Row],[Shift]]</f>
        <v/>
      </c>
      <c r="R187" s="126">
        <f>1/COUNTIF(OB_Act[Dummy_DT],OB_Act[[#This Row],[Dummy_DT]])</f>
        <v>4.1841004184100415E-3</v>
      </c>
      <c r="S187" s="126">
        <f>OB_Act[[#This Row],[Distance (Meter)]]*OB_Act[[#This Row],[Volume (BCM)]]</f>
        <v>0</v>
      </c>
      <c r="T187" s="105" t="str">
        <f>OB_Act[[#This Row],[Day]]&amp;OB_Act[[#This Row],[Dump Truck]]&amp;OB_Act[[#This Row],[Contractor]]&amp;OB_Act[[#This Row],[Excavator]]&amp;OB_Act[[#This Row],[Shift]]</f>
        <v/>
      </c>
      <c r="U187" s="126">
        <f>1/COUNTIF(OB_Act[Dummy_DT/Exc],OB_Act[[#This Row],[Dummy_DT/Exc]])</f>
        <v>4.1841004184100415E-3</v>
      </c>
      <c r="V187" s="126" t="e">
        <f>VLOOKUP(OB_Act[[#This Row],[Day]],$AO$2:$AR$32,4,0)</f>
        <v>#N/A</v>
      </c>
      <c r="W187" s="126" t="e">
        <f>VLOOKUP(OB_Act[[#This Row],[Dump Area]],$AE$2:$AF$51,2,0)</f>
        <v>#N/A</v>
      </c>
      <c r="X187" s="126" t="str">
        <f>OB_Act[[#This Row],[Excavator]]&amp;OB_Act[[#This Row],[Contractor]]</f>
        <v/>
      </c>
      <c r="Y187" s="126" t="e">
        <f>IF(OB_Act[[#This Row],[Material]]="MUD",VLOOKUP(OB_Act[[#This Row],[Dump Truck]],Type_mud[[Nama DT]:[Type]],2,0),VLOOKUP(OB_Act[[#This Row],[Dump Truck]],Type_DT_OB[[Nama DT]:[Type]],4,0))</f>
        <v>#N/A</v>
      </c>
      <c r="Z187" s="126" t="e">
        <f>"JBG-OP1-CENTRAL-"&amp;VLOOKUP(OB_Act[[#This Row],[Pit]],$AK$2:$AL$9,2,0)&amp;"-WASTE-"&amp;OB_Act[[#This Row],[Material]]</f>
        <v>#N/A</v>
      </c>
      <c r="AA187" s="126" t="e">
        <f>"JBG-DUMP1-"&amp;VLOOKUP(OB_Act[[#This Row],[Dump]],$AF$2:$AG$55,2,0)&amp;"-"&amp;OB_Act[[#This Row],[Material]]</f>
        <v>#N/A</v>
      </c>
      <c r="AB187" s="126" t="str">
        <f>"JBG-"&amp;OB_Act[[#This Row],[Material]]</f>
        <v>JBG-</v>
      </c>
    </row>
    <row r="188" spans="13:65">
      <c r="M188" s="105">
        <f>OB_Act[[#This Row],[Volume (BCM)]]*OB_Act[[#This Row],[Distance (Meter)]]</f>
        <v>0</v>
      </c>
      <c r="N188" s="105" t="str">
        <f>LEFT(OB_Act[[#This Row],[Dump Truck]],3)</f>
        <v/>
      </c>
      <c r="O188" s="126" t="str">
        <f>OB_Act[[#This Row],[Day]]&amp;OB_Act[[#This Row],[Excavator]]&amp;OB_Act[[#This Row],[Contractor]]&amp;OB_Act[[#This Row],[Pit]]&amp;OB_Act[[#This Row],[Shift]]</f>
        <v/>
      </c>
      <c r="P188" s="126">
        <f>1/COUNTIF(OB_Act[Dummy_Exc],OB_Act[[#This Row],[Dummy_Exc]])</f>
        <v>4.1841004184100415E-3</v>
      </c>
      <c r="Q188" s="105" t="str">
        <f>OB_Act[[#This Row],[Day]]&amp;OB_Act[[#This Row],[Dump Truck]]&amp;OB_Act[[#This Row],[Pit]]&amp;OB_Act[[#This Row],[Shift]]</f>
        <v/>
      </c>
      <c r="R188" s="126">
        <f>1/COUNTIF(OB_Act[Dummy_DT],OB_Act[[#This Row],[Dummy_DT]])</f>
        <v>4.1841004184100415E-3</v>
      </c>
      <c r="S188" s="126">
        <f>OB_Act[[#This Row],[Distance (Meter)]]*OB_Act[[#This Row],[Volume (BCM)]]</f>
        <v>0</v>
      </c>
      <c r="T188" s="105" t="str">
        <f>OB_Act[[#This Row],[Day]]&amp;OB_Act[[#This Row],[Dump Truck]]&amp;OB_Act[[#This Row],[Contractor]]&amp;OB_Act[[#This Row],[Excavator]]&amp;OB_Act[[#This Row],[Shift]]</f>
        <v/>
      </c>
      <c r="U188" s="126">
        <f>1/COUNTIF(OB_Act[Dummy_DT/Exc],OB_Act[[#This Row],[Dummy_DT/Exc]])</f>
        <v>4.1841004184100415E-3</v>
      </c>
      <c r="V188" s="126" t="e">
        <f>VLOOKUP(OB_Act[[#This Row],[Day]],$AO$2:$AR$32,4,0)</f>
        <v>#N/A</v>
      </c>
      <c r="W188" s="126" t="e">
        <f>VLOOKUP(OB_Act[[#This Row],[Dump Area]],$AE$2:$AF$51,2,0)</f>
        <v>#N/A</v>
      </c>
      <c r="X188" s="126" t="str">
        <f>OB_Act[[#This Row],[Excavator]]&amp;OB_Act[[#This Row],[Contractor]]</f>
        <v/>
      </c>
      <c r="Y188" s="126" t="e">
        <f>IF(OB_Act[[#This Row],[Material]]="MUD",VLOOKUP(OB_Act[[#This Row],[Dump Truck]],Type_mud[[Nama DT]:[Type]],2,0),VLOOKUP(OB_Act[[#This Row],[Dump Truck]],Type_DT_OB[[Nama DT]:[Type]],4,0))</f>
        <v>#N/A</v>
      </c>
      <c r="Z188" s="126" t="e">
        <f>"JBG-OP1-CENTRAL-"&amp;VLOOKUP(OB_Act[[#This Row],[Pit]],$AK$2:$AL$9,2,0)&amp;"-WASTE-"&amp;OB_Act[[#This Row],[Material]]</f>
        <v>#N/A</v>
      </c>
      <c r="AA188" s="126" t="e">
        <f>"JBG-DUMP1-"&amp;VLOOKUP(OB_Act[[#This Row],[Dump]],$AF$2:$AG$55,2,0)&amp;"-"&amp;OB_Act[[#This Row],[Material]]</f>
        <v>#N/A</v>
      </c>
      <c r="AB188" s="126" t="str">
        <f>"JBG-"&amp;OB_Act[[#This Row],[Material]]</f>
        <v>JBG-</v>
      </c>
    </row>
    <row r="189" spans="13:65">
      <c r="M189" s="105">
        <f>OB_Act[[#This Row],[Volume (BCM)]]*OB_Act[[#This Row],[Distance (Meter)]]</f>
        <v>0</v>
      </c>
      <c r="N189" s="105" t="str">
        <f>LEFT(OB_Act[[#This Row],[Dump Truck]],3)</f>
        <v/>
      </c>
      <c r="O189" s="126" t="str">
        <f>OB_Act[[#This Row],[Day]]&amp;OB_Act[[#This Row],[Excavator]]&amp;OB_Act[[#This Row],[Contractor]]&amp;OB_Act[[#This Row],[Pit]]&amp;OB_Act[[#This Row],[Shift]]</f>
        <v/>
      </c>
      <c r="P189" s="126">
        <f>1/COUNTIF(OB_Act[Dummy_Exc],OB_Act[[#This Row],[Dummy_Exc]])</f>
        <v>4.1841004184100415E-3</v>
      </c>
      <c r="Q189" s="105" t="str">
        <f>OB_Act[[#This Row],[Day]]&amp;OB_Act[[#This Row],[Dump Truck]]&amp;OB_Act[[#This Row],[Pit]]&amp;OB_Act[[#This Row],[Shift]]</f>
        <v/>
      </c>
      <c r="R189" s="126">
        <f>1/COUNTIF(OB_Act[Dummy_DT],OB_Act[[#This Row],[Dummy_DT]])</f>
        <v>4.1841004184100415E-3</v>
      </c>
      <c r="S189" s="126">
        <f>OB_Act[[#This Row],[Distance (Meter)]]*OB_Act[[#This Row],[Volume (BCM)]]</f>
        <v>0</v>
      </c>
      <c r="T189" s="105" t="str">
        <f>OB_Act[[#This Row],[Day]]&amp;OB_Act[[#This Row],[Dump Truck]]&amp;OB_Act[[#This Row],[Contractor]]&amp;OB_Act[[#This Row],[Excavator]]&amp;OB_Act[[#This Row],[Shift]]</f>
        <v/>
      </c>
      <c r="U189" s="126">
        <f>1/COUNTIF(OB_Act[Dummy_DT/Exc],OB_Act[[#This Row],[Dummy_DT/Exc]])</f>
        <v>4.1841004184100415E-3</v>
      </c>
      <c r="V189" s="126" t="e">
        <f>VLOOKUP(OB_Act[[#This Row],[Day]],$AO$2:$AR$32,4,0)</f>
        <v>#N/A</v>
      </c>
      <c r="W189" s="126" t="e">
        <f>VLOOKUP(OB_Act[[#This Row],[Dump Area]],$AE$2:$AF$51,2,0)</f>
        <v>#N/A</v>
      </c>
      <c r="X189" s="126" t="str">
        <f>OB_Act[[#This Row],[Excavator]]&amp;OB_Act[[#This Row],[Contractor]]</f>
        <v/>
      </c>
      <c r="Y189" s="126" t="e">
        <f>IF(OB_Act[[#This Row],[Material]]="MUD",VLOOKUP(OB_Act[[#This Row],[Dump Truck]],Type_mud[[Nama DT]:[Type]],2,0),VLOOKUP(OB_Act[[#This Row],[Dump Truck]],Type_DT_OB[[Nama DT]:[Type]],4,0))</f>
        <v>#N/A</v>
      </c>
      <c r="Z189" s="126" t="e">
        <f>"JBG-OP1-CENTRAL-"&amp;VLOOKUP(OB_Act[[#This Row],[Pit]],$AK$2:$AL$9,2,0)&amp;"-WASTE-"&amp;OB_Act[[#This Row],[Material]]</f>
        <v>#N/A</v>
      </c>
      <c r="AA189" s="126" t="e">
        <f>"JBG-DUMP1-"&amp;VLOOKUP(OB_Act[[#This Row],[Dump]],$AF$2:$AG$55,2,0)&amp;"-"&amp;OB_Act[[#This Row],[Material]]</f>
        <v>#N/A</v>
      </c>
      <c r="AB189" s="126" t="str">
        <f>"JBG-"&amp;OB_Act[[#This Row],[Material]]</f>
        <v>JBG-</v>
      </c>
    </row>
    <row r="190" spans="13:65">
      <c r="M190" s="105">
        <f>OB_Act[[#This Row],[Volume (BCM)]]*OB_Act[[#This Row],[Distance (Meter)]]</f>
        <v>0</v>
      </c>
      <c r="N190" s="105" t="str">
        <f>LEFT(OB_Act[[#This Row],[Dump Truck]],3)</f>
        <v/>
      </c>
      <c r="O190" s="126" t="str">
        <f>OB_Act[[#This Row],[Day]]&amp;OB_Act[[#This Row],[Excavator]]&amp;OB_Act[[#This Row],[Contractor]]&amp;OB_Act[[#This Row],[Pit]]&amp;OB_Act[[#This Row],[Shift]]</f>
        <v/>
      </c>
      <c r="P190" s="126">
        <f>1/COUNTIF(OB_Act[Dummy_Exc],OB_Act[[#This Row],[Dummy_Exc]])</f>
        <v>4.1841004184100415E-3</v>
      </c>
      <c r="Q190" s="105" t="str">
        <f>OB_Act[[#This Row],[Day]]&amp;OB_Act[[#This Row],[Dump Truck]]&amp;OB_Act[[#This Row],[Pit]]&amp;OB_Act[[#This Row],[Shift]]</f>
        <v/>
      </c>
      <c r="R190" s="126">
        <f>1/COUNTIF(OB_Act[Dummy_DT],OB_Act[[#This Row],[Dummy_DT]])</f>
        <v>4.1841004184100415E-3</v>
      </c>
      <c r="S190" s="126">
        <f>OB_Act[[#This Row],[Distance (Meter)]]*OB_Act[[#This Row],[Volume (BCM)]]</f>
        <v>0</v>
      </c>
      <c r="T190" s="105" t="str">
        <f>OB_Act[[#This Row],[Day]]&amp;OB_Act[[#This Row],[Dump Truck]]&amp;OB_Act[[#This Row],[Contractor]]&amp;OB_Act[[#This Row],[Excavator]]&amp;OB_Act[[#This Row],[Shift]]</f>
        <v/>
      </c>
      <c r="U190" s="126">
        <f>1/COUNTIF(OB_Act[Dummy_DT/Exc],OB_Act[[#This Row],[Dummy_DT/Exc]])</f>
        <v>4.1841004184100415E-3</v>
      </c>
      <c r="V190" s="126" t="e">
        <f>VLOOKUP(OB_Act[[#This Row],[Day]],$AO$2:$AR$32,4,0)</f>
        <v>#N/A</v>
      </c>
      <c r="W190" s="126" t="e">
        <f>VLOOKUP(OB_Act[[#This Row],[Dump Area]],$AE$2:$AF$51,2,0)</f>
        <v>#N/A</v>
      </c>
      <c r="X190" s="126" t="str">
        <f>OB_Act[[#This Row],[Excavator]]&amp;OB_Act[[#This Row],[Contractor]]</f>
        <v/>
      </c>
      <c r="Y190" s="126" t="e">
        <f>IF(OB_Act[[#This Row],[Material]]="MUD",VLOOKUP(OB_Act[[#This Row],[Dump Truck]],Type_mud[[Nama DT]:[Type]],2,0),VLOOKUP(OB_Act[[#This Row],[Dump Truck]],Type_DT_OB[[Nama DT]:[Type]],4,0))</f>
        <v>#N/A</v>
      </c>
      <c r="Z190" s="126" t="e">
        <f>"JBG-OP1-CENTRAL-"&amp;VLOOKUP(OB_Act[[#This Row],[Pit]],$AK$2:$AL$9,2,0)&amp;"-WASTE-"&amp;OB_Act[[#This Row],[Material]]</f>
        <v>#N/A</v>
      </c>
      <c r="AA190" s="126" t="e">
        <f>"JBG-DUMP1-"&amp;VLOOKUP(OB_Act[[#This Row],[Dump]],$AF$2:$AG$55,2,0)&amp;"-"&amp;OB_Act[[#This Row],[Material]]</f>
        <v>#N/A</v>
      </c>
      <c r="AB190" s="126" t="str">
        <f>"JBG-"&amp;OB_Act[[#This Row],[Material]]</f>
        <v>JBG-</v>
      </c>
    </row>
    <row r="191" spans="13:65">
      <c r="M191" s="105">
        <f>OB_Act[[#This Row],[Volume (BCM)]]*OB_Act[[#This Row],[Distance (Meter)]]</f>
        <v>0</v>
      </c>
      <c r="N191" s="105" t="str">
        <f>LEFT(OB_Act[[#This Row],[Dump Truck]],3)</f>
        <v/>
      </c>
      <c r="O191" s="126" t="str">
        <f>OB_Act[[#This Row],[Day]]&amp;OB_Act[[#This Row],[Excavator]]&amp;OB_Act[[#This Row],[Contractor]]&amp;OB_Act[[#This Row],[Pit]]&amp;OB_Act[[#This Row],[Shift]]</f>
        <v/>
      </c>
      <c r="P191" s="126">
        <f>1/COUNTIF(OB_Act[Dummy_Exc],OB_Act[[#This Row],[Dummy_Exc]])</f>
        <v>4.1841004184100415E-3</v>
      </c>
      <c r="Q191" s="105" t="str">
        <f>OB_Act[[#This Row],[Day]]&amp;OB_Act[[#This Row],[Dump Truck]]&amp;OB_Act[[#This Row],[Pit]]&amp;OB_Act[[#This Row],[Shift]]</f>
        <v/>
      </c>
      <c r="R191" s="126">
        <f>1/COUNTIF(OB_Act[Dummy_DT],OB_Act[[#This Row],[Dummy_DT]])</f>
        <v>4.1841004184100415E-3</v>
      </c>
      <c r="S191" s="126">
        <f>OB_Act[[#This Row],[Distance (Meter)]]*OB_Act[[#This Row],[Volume (BCM)]]</f>
        <v>0</v>
      </c>
      <c r="T191" s="105" t="str">
        <f>OB_Act[[#This Row],[Day]]&amp;OB_Act[[#This Row],[Dump Truck]]&amp;OB_Act[[#This Row],[Contractor]]&amp;OB_Act[[#This Row],[Excavator]]&amp;OB_Act[[#This Row],[Shift]]</f>
        <v/>
      </c>
      <c r="U191" s="126">
        <f>1/COUNTIF(OB_Act[Dummy_DT/Exc],OB_Act[[#This Row],[Dummy_DT/Exc]])</f>
        <v>4.1841004184100415E-3</v>
      </c>
      <c r="V191" s="126" t="e">
        <f>VLOOKUP(OB_Act[[#This Row],[Day]],$AO$2:$AR$32,4,0)</f>
        <v>#N/A</v>
      </c>
      <c r="W191" s="126" t="e">
        <f>VLOOKUP(OB_Act[[#This Row],[Dump Area]],$AE$2:$AF$51,2,0)</f>
        <v>#N/A</v>
      </c>
      <c r="X191" s="126" t="str">
        <f>OB_Act[[#This Row],[Excavator]]&amp;OB_Act[[#This Row],[Contractor]]</f>
        <v/>
      </c>
      <c r="Y191" s="126" t="e">
        <f>IF(OB_Act[[#This Row],[Material]]="MUD",VLOOKUP(OB_Act[[#This Row],[Dump Truck]],Type_mud[[Nama DT]:[Type]],2,0),VLOOKUP(OB_Act[[#This Row],[Dump Truck]],Type_DT_OB[[Nama DT]:[Type]],4,0))</f>
        <v>#N/A</v>
      </c>
      <c r="Z191" s="126" t="e">
        <f>"JBG-OP1-CENTRAL-"&amp;VLOOKUP(OB_Act[[#This Row],[Pit]],$AK$2:$AL$9,2,0)&amp;"-WASTE-"&amp;OB_Act[[#This Row],[Material]]</f>
        <v>#N/A</v>
      </c>
      <c r="AA191" s="126" t="e">
        <f>"JBG-DUMP1-"&amp;VLOOKUP(OB_Act[[#This Row],[Dump]],$AF$2:$AG$55,2,0)&amp;"-"&amp;OB_Act[[#This Row],[Material]]</f>
        <v>#N/A</v>
      </c>
      <c r="AB191" s="126" t="str">
        <f>"JBG-"&amp;OB_Act[[#This Row],[Material]]</f>
        <v>JBG-</v>
      </c>
    </row>
    <row r="192" spans="13:65">
      <c r="M192" s="105">
        <f>OB_Act[[#This Row],[Volume (BCM)]]*OB_Act[[#This Row],[Distance (Meter)]]</f>
        <v>0</v>
      </c>
      <c r="N192" s="105" t="str">
        <f>LEFT(OB_Act[[#This Row],[Dump Truck]],3)</f>
        <v/>
      </c>
      <c r="O192" s="126" t="str">
        <f>OB_Act[[#This Row],[Day]]&amp;OB_Act[[#This Row],[Excavator]]&amp;OB_Act[[#This Row],[Contractor]]&amp;OB_Act[[#This Row],[Pit]]&amp;OB_Act[[#This Row],[Shift]]</f>
        <v/>
      </c>
      <c r="P192" s="126">
        <f>1/COUNTIF(OB_Act[Dummy_Exc],OB_Act[[#This Row],[Dummy_Exc]])</f>
        <v>4.1841004184100415E-3</v>
      </c>
      <c r="Q192" s="105" t="str">
        <f>OB_Act[[#This Row],[Day]]&amp;OB_Act[[#This Row],[Dump Truck]]&amp;OB_Act[[#This Row],[Pit]]&amp;OB_Act[[#This Row],[Shift]]</f>
        <v/>
      </c>
      <c r="R192" s="126">
        <f>1/COUNTIF(OB_Act[Dummy_DT],OB_Act[[#This Row],[Dummy_DT]])</f>
        <v>4.1841004184100415E-3</v>
      </c>
      <c r="S192" s="126">
        <f>OB_Act[[#This Row],[Distance (Meter)]]*OB_Act[[#This Row],[Volume (BCM)]]</f>
        <v>0</v>
      </c>
      <c r="T192" s="105" t="str">
        <f>OB_Act[[#This Row],[Day]]&amp;OB_Act[[#This Row],[Dump Truck]]&amp;OB_Act[[#This Row],[Contractor]]&amp;OB_Act[[#This Row],[Excavator]]&amp;OB_Act[[#This Row],[Shift]]</f>
        <v/>
      </c>
      <c r="U192" s="126">
        <f>1/COUNTIF(OB_Act[Dummy_DT/Exc],OB_Act[[#This Row],[Dummy_DT/Exc]])</f>
        <v>4.1841004184100415E-3</v>
      </c>
      <c r="V192" s="126" t="e">
        <f>VLOOKUP(OB_Act[[#This Row],[Day]],$AO$2:$AR$32,4,0)</f>
        <v>#N/A</v>
      </c>
      <c r="W192" s="126" t="e">
        <f>VLOOKUP(OB_Act[[#This Row],[Dump Area]],$AE$2:$AF$51,2,0)</f>
        <v>#N/A</v>
      </c>
      <c r="X192" s="126" t="str">
        <f>OB_Act[[#This Row],[Excavator]]&amp;OB_Act[[#This Row],[Contractor]]</f>
        <v/>
      </c>
      <c r="Y192" s="126" t="e">
        <f>IF(OB_Act[[#This Row],[Material]]="MUD",VLOOKUP(OB_Act[[#This Row],[Dump Truck]],Type_mud[[Nama DT]:[Type]],2,0),VLOOKUP(OB_Act[[#This Row],[Dump Truck]],Type_DT_OB[[Nama DT]:[Type]],4,0))</f>
        <v>#N/A</v>
      </c>
      <c r="Z192" s="126" t="e">
        <f>"JBG-OP1-CENTRAL-"&amp;VLOOKUP(OB_Act[[#This Row],[Pit]],$AK$2:$AL$9,2,0)&amp;"-WASTE-"&amp;OB_Act[[#This Row],[Material]]</f>
        <v>#N/A</v>
      </c>
      <c r="AA192" s="126" t="e">
        <f>"JBG-DUMP1-"&amp;VLOOKUP(OB_Act[[#This Row],[Dump]],$AF$2:$AG$55,2,0)&amp;"-"&amp;OB_Act[[#This Row],[Material]]</f>
        <v>#N/A</v>
      </c>
      <c r="AB192" s="126" t="str">
        <f>"JBG-"&amp;OB_Act[[#This Row],[Material]]</f>
        <v>JBG-</v>
      </c>
    </row>
    <row r="193" spans="13:28">
      <c r="M193" s="105">
        <f>OB_Act[[#This Row],[Volume (BCM)]]*OB_Act[[#This Row],[Distance (Meter)]]</f>
        <v>0</v>
      </c>
      <c r="N193" s="105" t="str">
        <f>LEFT(OB_Act[[#This Row],[Dump Truck]],3)</f>
        <v/>
      </c>
      <c r="O193" s="126" t="str">
        <f>OB_Act[[#This Row],[Day]]&amp;OB_Act[[#This Row],[Excavator]]&amp;OB_Act[[#This Row],[Contractor]]&amp;OB_Act[[#This Row],[Pit]]&amp;OB_Act[[#This Row],[Shift]]</f>
        <v/>
      </c>
      <c r="P193" s="126">
        <f>1/COUNTIF(OB_Act[Dummy_Exc],OB_Act[[#This Row],[Dummy_Exc]])</f>
        <v>4.1841004184100415E-3</v>
      </c>
      <c r="Q193" s="105" t="str">
        <f>OB_Act[[#This Row],[Day]]&amp;OB_Act[[#This Row],[Dump Truck]]&amp;OB_Act[[#This Row],[Pit]]&amp;OB_Act[[#This Row],[Shift]]</f>
        <v/>
      </c>
      <c r="R193" s="126">
        <f>1/COUNTIF(OB_Act[Dummy_DT],OB_Act[[#This Row],[Dummy_DT]])</f>
        <v>4.1841004184100415E-3</v>
      </c>
      <c r="S193" s="126">
        <f>OB_Act[[#This Row],[Distance (Meter)]]*OB_Act[[#This Row],[Volume (BCM)]]</f>
        <v>0</v>
      </c>
      <c r="T193" s="105" t="str">
        <f>OB_Act[[#This Row],[Day]]&amp;OB_Act[[#This Row],[Dump Truck]]&amp;OB_Act[[#This Row],[Contractor]]&amp;OB_Act[[#This Row],[Excavator]]&amp;OB_Act[[#This Row],[Shift]]</f>
        <v/>
      </c>
      <c r="U193" s="126">
        <f>1/COUNTIF(OB_Act[Dummy_DT/Exc],OB_Act[[#This Row],[Dummy_DT/Exc]])</f>
        <v>4.1841004184100415E-3</v>
      </c>
      <c r="V193" s="126" t="e">
        <f>VLOOKUP(OB_Act[[#This Row],[Day]],$AO$2:$AR$32,4,0)</f>
        <v>#N/A</v>
      </c>
      <c r="W193" s="126" t="e">
        <f>VLOOKUP(OB_Act[[#This Row],[Dump Area]],$AE$2:$AF$51,2,0)</f>
        <v>#N/A</v>
      </c>
      <c r="X193" s="126" t="str">
        <f>OB_Act[[#This Row],[Excavator]]&amp;OB_Act[[#This Row],[Contractor]]</f>
        <v/>
      </c>
      <c r="Y193" s="126" t="e">
        <f>IF(OB_Act[[#This Row],[Material]]="MUD",VLOOKUP(OB_Act[[#This Row],[Dump Truck]],Type_mud[[Nama DT]:[Type]],2,0),VLOOKUP(OB_Act[[#This Row],[Dump Truck]],Type_DT_OB[[Nama DT]:[Type]],4,0))</f>
        <v>#N/A</v>
      </c>
      <c r="Z193" s="126" t="e">
        <f>"JBG-OP1-CENTRAL-"&amp;VLOOKUP(OB_Act[[#This Row],[Pit]],$AK$2:$AL$9,2,0)&amp;"-WASTE-"&amp;OB_Act[[#This Row],[Material]]</f>
        <v>#N/A</v>
      </c>
      <c r="AA193" s="126" t="e">
        <f>"JBG-DUMP1-"&amp;VLOOKUP(OB_Act[[#This Row],[Dump]],$AF$2:$AG$55,2,0)&amp;"-"&amp;OB_Act[[#This Row],[Material]]</f>
        <v>#N/A</v>
      </c>
      <c r="AB193" s="126" t="str">
        <f>"JBG-"&amp;OB_Act[[#This Row],[Material]]</f>
        <v>JBG-</v>
      </c>
    </row>
    <row r="194" spans="13:28">
      <c r="M194" s="105">
        <f>OB_Act[[#This Row],[Volume (BCM)]]*OB_Act[[#This Row],[Distance (Meter)]]</f>
        <v>0</v>
      </c>
      <c r="N194" s="105" t="str">
        <f>LEFT(OB_Act[[#This Row],[Dump Truck]],3)</f>
        <v/>
      </c>
      <c r="O194" s="126" t="str">
        <f>OB_Act[[#This Row],[Day]]&amp;OB_Act[[#This Row],[Excavator]]&amp;OB_Act[[#This Row],[Contractor]]&amp;OB_Act[[#This Row],[Pit]]&amp;OB_Act[[#This Row],[Shift]]</f>
        <v/>
      </c>
      <c r="P194" s="126">
        <f>1/COUNTIF(OB_Act[Dummy_Exc],OB_Act[[#This Row],[Dummy_Exc]])</f>
        <v>4.1841004184100415E-3</v>
      </c>
      <c r="Q194" s="105" t="str">
        <f>OB_Act[[#This Row],[Day]]&amp;OB_Act[[#This Row],[Dump Truck]]&amp;OB_Act[[#This Row],[Pit]]&amp;OB_Act[[#This Row],[Shift]]</f>
        <v/>
      </c>
      <c r="R194" s="126">
        <f>1/COUNTIF(OB_Act[Dummy_DT],OB_Act[[#This Row],[Dummy_DT]])</f>
        <v>4.1841004184100415E-3</v>
      </c>
      <c r="S194" s="126">
        <f>OB_Act[[#This Row],[Distance (Meter)]]*OB_Act[[#This Row],[Volume (BCM)]]</f>
        <v>0</v>
      </c>
      <c r="T194" s="105" t="str">
        <f>OB_Act[[#This Row],[Day]]&amp;OB_Act[[#This Row],[Dump Truck]]&amp;OB_Act[[#This Row],[Contractor]]&amp;OB_Act[[#This Row],[Excavator]]&amp;OB_Act[[#This Row],[Shift]]</f>
        <v/>
      </c>
      <c r="U194" s="126">
        <f>1/COUNTIF(OB_Act[Dummy_DT/Exc],OB_Act[[#This Row],[Dummy_DT/Exc]])</f>
        <v>4.1841004184100415E-3</v>
      </c>
      <c r="V194" s="126" t="e">
        <f>VLOOKUP(OB_Act[[#This Row],[Day]],$AO$2:$AR$32,4,0)</f>
        <v>#N/A</v>
      </c>
      <c r="W194" s="126" t="e">
        <f>VLOOKUP(OB_Act[[#This Row],[Dump Area]],$AE$2:$AF$51,2,0)</f>
        <v>#N/A</v>
      </c>
      <c r="X194" s="126" t="str">
        <f>OB_Act[[#This Row],[Excavator]]&amp;OB_Act[[#This Row],[Contractor]]</f>
        <v/>
      </c>
      <c r="Y194" s="126" t="e">
        <f>IF(OB_Act[[#This Row],[Material]]="MUD",VLOOKUP(OB_Act[[#This Row],[Dump Truck]],Type_mud[[Nama DT]:[Type]],2,0),VLOOKUP(OB_Act[[#This Row],[Dump Truck]],Type_DT_OB[[Nama DT]:[Type]],4,0))</f>
        <v>#N/A</v>
      </c>
      <c r="Z194" s="126" t="e">
        <f>"JBG-OP1-CENTRAL-"&amp;VLOOKUP(OB_Act[[#This Row],[Pit]],$AK$2:$AL$9,2,0)&amp;"-WASTE-"&amp;OB_Act[[#This Row],[Material]]</f>
        <v>#N/A</v>
      </c>
      <c r="AA194" s="126" t="e">
        <f>"JBG-DUMP1-"&amp;VLOOKUP(OB_Act[[#This Row],[Dump]],$AF$2:$AG$55,2,0)&amp;"-"&amp;OB_Act[[#This Row],[Material]]</f>
        <v>#N/A</v>
      </c>
      <c r="AB194" s="126" t="str">
        <f>"JBG-"&amp;OB_Act[[#This Row],[Material]]</f>
        <v>JBG-</v>
      </c>
    </row>
    <row r="195" spans="13:28">
      <c r="M195" s="105">
        <f>OB_Act[[#This Row],[Volume (BCM)]]*OB_Act[[#This Row],[Distance (Meter)]]</f>
        <v>0</v>
      </c>
      <c r="N195" s="105" t="str">
        <f>LEFT(OB_Act[[#This Row],[Dump Truck]],3)</f>
        <v/>
      </c>
      <c r="O195" s="126" t="str">
        <f>OB_Act[[#This Row],[Day]]&amp;OB_Act[[#This Row],[Excavator]]&amp;OB_Act[[#This Row],[Contractor]]&amp;OB_Act[[#This Row],[Pit]]&amp;OB_Act[[#This Row],[Shift]]</f>
        <v/>
      </c>
      <c r="P195" s="126">
        <f>1/COUNTIF(OB_Act[Dummy_Exc],OB_Act[[#This Row],[Dummy_Exc]])</f>
        <v>4.1841004184100415E-3</v>
      </c>
      <c r="Q195" s="105" t="str">
        <f>OB_Act[[#This Row],[Day]]&amp;OB_Act[[#This Row],[Dump Truck]]&amp;OB_Act[[#This Row],[Pit]]&amp;OB_Act[[#This Row],[Shift]]</f>
        <v/>
      </c>
      <c r="R195" s="126">
        <f>1/COUNTIF(OB_Act[Dummy_DT],OB_Act[[#This Row],[Dummy_DT]])</f>
        <v>4.1841004184100415E-3</v>
      </c>
      <c r="S195" s="126">
        <f>OB_Act[[#This Row],[Distance (Meter)]]*OB_Act[[#This Row],[Volume (BCM)]]</f>
        <v>0</v>
      </c>
      <c r="T195" s="105" t="str">
        <f>OB_Act[[#This Row],[Day]]&amp;OB_Act[[#This Row],[Dump Truck]]&amp;OB_Act[[#This Row],[Contractor]]&amp;OB_Act[[#This Row],[Excavator]]&amp;OB_Act[[#This Row],[Shift]]</f>
        <v/>
      </c>
      <c r="U195" s="126">
        <f>1/COUNTIF(OB_Act[Dummy_DT/Exc],OB_Act[[#This Row],[Dummy_DT/Exc]])</f>
        <v>4.1841004184100415E-3</v>
      </c>
      <c r="V195" s="126" t="e">
        <f>VLOOKUP(OB_Act[[#This Row],[Day]],$AO$2:$AR$32,4,0)</f>
        <v>#N/A</v>
      </c>
      <c r="W195" s="126" t="e">
        <f>VLOOKUP(OB_Act[[#This Row],[Dump Area]],$AE$2:$AF$51,2,0)</f>
        <v>#N/A</v>
      </c>
      <c r="X195" s="126" t="str">
        <f>OB_Act[[#This Row],[Excavator]]&amp;OB_Act[[#This Row],[Contractor]]</f>
        <v/>
      </c>
      <c r="Y195" s="126" t="e">
        <f>IF(OB_Act[[#This Row],[Material]]="MUD",VLOOKUP(OB_Act[[#This Row],[Dump Truck]],Type_mud[[Nama DT]:[Type]],2,0),VLOOKUP(OB_Act[[#This Row],[Dump Truck]],Type_DT_OB[[Nama DT]:[Type]],4,0))</f>
        <v>#N/A</v>
      </c>
      <c r="Z195" s="126" t="e">
        <f>"JBG-OP1-CENTRAL-"&amp;VLOOKUP(OB_Act[[#This Row],[Pit]],$AK$2:$AL$9,2,0)&amp;"-WASTE-"&amp;OB_Act[[#This Row],[Material]]</f>
        <v>#N/A</v>
      </c>
      <c r="AA195" s="126" t="e">
        <f>"JBG-DUMP1-"&amp;VLOOKUP(OB_Act[[#This Row],[Dump]],$AF$2:$AG$55,2,0)&amp;"-"&amp;OB_Act[[#This Row],[Material]]</f>
        <v>#N/A</v>
      </c>
      <c r="AB195" s="126" t="str">
        <f>"JBG-"&amp;OB_Act[[#This Row],[Material]]</f>
        <v>JBG-</v>
      </c>
    </row>
    <row r="196" spans="13:28">
      <c r="M196" s="105">
        <f>OB_Act[[#This Row],[Volume (BCM)]]*OB_Act[[#This Row],[Distance (Meter)]]</f>
        <v>0</v>
      </c>
      <c r="N196" s="105" t="str">
        <f>LEFT(OB_Act[[#This Row],[Dump Truck]],3)</f>
        <v/>
      </c>
      <c r="O196" s="126" t="str">
        <f>OB_Act[[#This Row],[Day]]&amp;OB_Act[[#This Row],[Excavator]]&amp;OB_Act[[#This Row],[Contractor]]&amp;OB_Act[[#This Row],[Pit]]&amp;OB_Act[[#This Row],[Shift]]</f>
        <v/>
      </c>
      <c r="P196" s="126">
        <f>1/COUNTIF(OB_Act[Dummy_Exc],OB_Act[[#This Row],[Dummy_Exc]])</f>
        <v>4.1841004184100415E-3</v>
      </c>
      <c r="Q196" s="105" t="str">
        <f>OB_Act[[#This Row],[Day]]&amp;OB_Act[[#This Row],[Dump Truck]]&amp;OB_Act[[#This Row],[Pit]]&amp;OB_Act[[#This Row],[Shift]]</f>
        <v/>
      </c>
      <c r="R196" s="126">
        <f>1/COUNTIF(OB_Act[Dummy_DT],OB_Act[[#This Row],[Dummy_DT]])</f>
        <v>4.1841004184100415E-3</v>
      </c>
      <c r="S196" s="126">
        <f>OB_Act[[#This Row],[Distance (Meter)]]*OB_Act[[#This Row],[Volume (BCM)]]</f>
        <v>0</v>
      </c>
      <c r="T196" s="105" t="str">
        <f>OB_Act[[#This Row],[Day]]&amp;OB_Act[[#This Row],[Dump Truck]]&amp;OB_Act[[#This Row],[Contractor]]&amp;OB_Act[[#This Row],[Excavator]]&amp;OB_Act[[#This Row],[Shift]]</f>
        <v/>
      </c>
      <c r="U196" s="126">
        <f>1/COUNTIF(OB_Act[Dummy_DT/Exc],OB_Act[[#This Row],[Dummy_DT/Exc]])</f>
        <v>4.1841004184100415E-3</v>
      </c>
      <c r="V196" s="126" t="e">
        <f>VLOOKUP(OB_Act[[#This Row],[Day]],$AO$2:$AR$32,4,0)</f>
        <v>#N/A</v>
      </c>
      <c r="W196" s="126" t="e">
        <f>VLOOKUP(OB_Act[[#This Row],[Dump Area]],$AE$2:$AF$51,2,0)</f>
        <v>#N/A</v>
      </c>
      <c r="X196" s="126" t="str">
        <f>OB_Act[[#This Row],[Excavator]]&amp;OB_Act[[#This Row],[Contractor]]</f>
        <v/>
      </c>
      <c r="Y196" s="126" t="e">
        <f>IF(OB_Act[[#This Row],[Material]]="MUD",VLOOKUP(OB_Act[[#This Row],[Dump Truck]],Type_mud[[Nama DT]:[Type]],2,0),VLOOKUP(OB_Act[[#This Row],[Dump Truck]],Type_DT_OB[[Nama DT]:[Type]],4,0))</f>
        <v>#N/A</v>
      </c>
      <c r="Z196" s="126" t="e">
        <f>"JBG-OP1-CENTRAL-"&amp;VLOOKUP(OB_Act[[#This Row],[Pit]],$AK$2:$AL$9,2,0)&amp;"-WASTE-"&amp;OB_Act[[#This Row],[Material]]</f>
        <v>#N/A</v>
      </c>
      <c r="AA196" s="126" t="e">
        <f>"JBG-DUMP1-"&amp;VLOOKUP(OB_Act[[#This Row],[Dump]],$AF$2:$AG$55,2,0)&amp;"-"&amp;OB_Act[[#This Row],[Material]]</f>
        <v>#N/A</v>
      </c>
      <c r="AB196" s="126" t="str">
        <f>"JBG-"&amp;OB_Act[[#This Row],[Material]]</f>
        <v>JBG-</v>
      </c>
    </row>
    <row r="197" spans="13:28">
      <c r="M197" s="105">
        <f>OB_Act[[#This Row],[Volume (BCM)]]*OB_Act[[#This Row],[Distance (Meter)]]</f>
        <v>0</v>
      </c>
      <c r="N197" s="105" t="str">
        <f>LEFT(OB_Act[[#This Row],[Dump Truck]],3)</f>
        <v/>
      </c>
      <c r="O197" s="126" t="str">
        <f>OB_Act[[#This Row],[Day]]&amp;OB_Act[[#This Row],[Excavator]]&amp;OB_Act[[#This Row],[Contractor]]&amp;OB_Act[[#This Row],[Pit]]&amp;OB_Act[[#This Row],[Shift]]</f>
        <v/>
      </c>
      <c r="P197" s="126">
        <f>1/COUNTIF(OB_Act[Dummy_Exc],OB_Act[[#This Row],[Dummy_Exc]])</f>
        <v>4.1841004184100415E-3</v>
      </c>
      <c r="Q197" s="105" t="str">
        <f>OB_Act[[#This Row],[Day]]&amp;OB_Act[[#This Row],[Dump Truck]]&amp;OB_Act[[#This Row],[Pit]]&amp;OB_Act[[#This Row],[Shift]]</f>
        <v/>
      </c>
      <c r="R197" s="126">
        <f>1/COUNTIF(OB_Act[Dummy_DT],OB_Act[[#This Row],[Dummy_DT]])</f>
        <v>4.1841004184100415E-3</v>
      </c>
      <c r="S197" s="126">
        <f>OB_Act[[#This Row],[Distance (Meter)]]*OB_Act[[#This Row],[Volume (BCM)]]</f>
        <v>0</v>
      </c>
      <c r="T197" s="105" t="str">
        <f>OB_Act[[#This Row],[Day]]&amp;OB_Act[[#This Row],[Dump Truck]]&amp;OB_Act[[#This Row],[Contractor]]&amp;OB_Act[[#This Row],[Excavator]]&amp;OB_Act[[#This Row],[Shift]]</f>
        <v/>
      </c>
      <c r="U197" s="126">
        <f>1/COUNTIF(OB_Act[Dummy_DT/Exc],OB_Act[[#This Row],[Dummy_DT/Exc]])</f>
        <v>4.1841004184100415E-3</v>
      </c>
      <c r="V197" s="126" t="e">
        <f>VLOOKUP(OB_Act[[#This Row],[Day]],$AO$2:$AR$32,4,0)</f>
        <v>#N/A</v>
      </c>
      <c r="W197" s="126" t="e">
        <f>VLOOKUP(OB_Act[[#This Row],[Dump Area]],$AE$2:$AF$51,2,0)</f>
        <v>#N/A</v>
      </c>
      <c r="X197" s="126" t="str">
        <f>OB_Act[[#This Row],[Excavator]]&amp;OB_Act[[#This Row],[Contractor]]</f>
        <v/>
      </c>
      <c r="Y197" s="126" t="e">
        <f>IF(OB_Act[[#This Row],[Material]]="MUD",VLOOKUP(OB_Act[[#This Row],[Dump Truck]],Type_mud[[Nama DT]:[Type]],2,0),VLOOKUP(OB_Act[[#This Row],[Dump Truck]],Type_DT_OB[[Nama DT]:[Type]],4,0))</f>
        <v>#N/A</v>
      </c>
      <c r="Z197" s="126" t="e">
        <f>"JBG-OP1-CENTRAL-"&amp;VLOOKUP(OB_Act[[#This Row],[Pit]],$AK$2:$AL$9,2,0)&amp;"-WASTE-"&amp;OB_Act[[#This Row],[Material]]</f>
        <v>#N/A</v>
      </c>
      <c r="AA197" s="126" t="e">
        <f>"JBG-DUMP1-"&amp;VLOOKUP(OB_Act[[#This Row],[Dump]],$AF$2:$AG$55,2,0)&amp;"-"&amp;OB_Act[[#This Row],[Material]]</f>
        <v>#N/A</v>
      </c>
      <c r="AB197" s="126" t="str">
        <f>"JBG-"&amp;OB_Act[[#This Row],[Material]]</f>
        <v>JBG-</v>
      </c>
    </row>
    <row r="198" spans="13:28">
      <c r="M198" s="105">
        <f>OB_Act[[#This Row],[Volume (BCM)]]*OB_Act[[#This Row],[Distance (Meter)]]</f>
        <v>0</v>
      </c>
      <c r="N198" s="105" t="str">
        <f>LEFT(OB_Act[[#This Row],[Dump Truck]],3)</f>
        <v/>
      </c>
      <c r="O198" s="126" t="str">
        <f>OB_Act[[#This Row],[Day]]&amp;OB_Act[[#This Row],[Excavator]]&amp;OB_Act[[#This Row],[Contractor]]&amp;OB_Act[[#This Row],[Pit]]&amp;OB_Act[[#This Row],[Shift]]</f>
        <v/>
      </c>
      <c r="P198" s="126">
        <f>1/COUNTIF(OB_Act[Dummy_Exc],OB_Act[[#This Row],[Dummy_Exc]])</f>
        <v>4.1841004184100415E-3</v>
      </c>
      <c r="Q198" s="105" t="str">
        <f>OB_Act[[#This Row],[Day]]&amp;OB_Act[[#This Row],[Dump Truck]]&amp;OB_Act[[#This Row],[Pit]]&amp;OB_Act[[#This Row],[Shift]]</f>
        <v/>
      </c>
      <c r="R198" s="126">
        <f>1/COUNTIF(OB_Act[Dummy_DT],OB_Act[[#This Row],[Dummy_DT]])</f>
        <v>4.1841004184100415E-3</v>
      </c>
      <c r="S198" s="126">
        <f>OB_Act[[#This Row],[Distance (Meter)]]*OB_Act[[#This Row],[Volume (BCM)]]</f>
        <v>0</v>
      </c>
      <c r="T198" s="105" t="str">
        <f>OB_Act[[#This Row],[Day]]&amp;OB_Act[[#This Row],[Dump Truck]]&amp;OB_Act[[#This Row],[Contractor]]&amp;OB_Act[[#This Row],[Excavator]]&amp;OB_Act[[#This Row],[Shift]]</f>
        <v/>
      </c>
      <c r="U198" s="126">
        <f>1/COUNTIF(OB_Act[Dummy_DT/Exc],OB_Act[[#This Row],[Dummy_DT/Exc]])</f>
        <v>4.1841004184100415E-3</v>
      </c>
      <c r="V198" s="126" t="e">
        <f>VLOOKUP(OB_Act[[#This Row],[Day]],$AO$2:$AR$32,4,0)</f>
        <v>#N/A</v>
      </c>
      <c r="W198" s="126" t="e">
        <f>VLOOKUP(OB_Act[[#This Row],[Dump Area]],$AE$2:$AF$51,2,0)</f>
        <v>#N/A</v>
      </c>
      <c r="X198" s="126" t="str">
        <f>OB_Act[[#This Row],[Excavator]]&amp;OB_Act[[#This Row],[Contractor]]</f>
        <v/>
      </c>
      <c r="Y198" s="126" t="e">
        <f>IF(OB_Act[[#This Row],[Material]]="MUD",VLOOKUP(OB_Act[[#This Row],[Dump Truck]],Type_mud[[Nama DT]:[Type]],2,0),VLOOKUP(OB_Act[[#This Row],[Dump Truck]],Type_DT_OB[[Nama DT]:[Type]],4,0))</f>
        <v>#N/A</v>
      </c>
      <c r="Z198" s="126" t="e">
        <f>"JBG-OP1-CENTRAL-"&amp;VLOOKUP(OB_Act[[#This Row],[Pit]],$AK$2:$AL$9,2,0)&amp;"-WASTE-"&amp;OB_Act[[#This Row],[Material]]</f>
        <v>#N/A</v>
      </c>
      <c r="AA198" s="126" t="e">
        <f>"JBG-DUMP1-"&amp;VLOOKUP(OB_Act[[#This Row],[Dump]],$AF$2:$AG$55,2,0)&amp;"-"&amp;OB_Act[[#This Row],[Material]]</f>
        <v>#N/A</v>
      </c>
      <c r="AB198" s="126" t="str">
        <f>"JBG-"&amp;OB_Act[[#This Row],[Material]]</f>
        <v>JBG-</v>
      </c>
    </row>
    <row r="199" spans="13:28">
      <c r="M199" s="105">
        <f>OB_Act[[#This Row],[Volume (BCM)]]*OB_Act[[#This Row],[Distance (Meter)]]</f>
        <v>0</v>
      </c>
      <c r="N199" s="105" t="str">
        <f>LEFT(OB_Act[[#This Row],[Dump Truck]],3)</f>
        <v/>
      </c>
      <c r="O199" s="126" t="str">
        <f>OB_Act[[#This Row],[Day]]&amp;OB_Act[[#This Row],[Excavator]]&amp;OB_Act[[#This Row],[Contractor]]&amp;OB_Act[[#This Row],[Pit]]&amp;OB_Act[[#This Row],[Shift]]</f>
        <v/>
      </c>
      <c r="P199" s="126">
        <f>1/COUNTIF(OB_Act[Dummy_Exc],OB_Act[[#This Row],[Dummy_Exc]])</f>
        <v>4.1841004184100415E-3</v>
      </c>
      <c r="Q199" s="105" t="str">
        <f>OB_Act[[#This Row],[Day]]&amp;OB_Act[[#This Row],[Dump Truck]]&amp;OB_Act[[#This Row],[Pit]]&amp;OB_Act[[#This Row],[Shift]]</f>
        <v/>
      </c>
      <c r="R199" s="126">
        <f>1/COUNTIF(OB_Act[Dummy_DT],OB_Act[[#This Row],[Dummy_DT]])</f>
        <v>4.1841004184100415E-3</v>
      </c>
      <c r="S199" s="126">
        <f>OB_Act[[#This Row],[Distance (Meter)]]*OB_Act[[#This Row],[Volume (BCM)]]</f>
        <v>0</v>
      </c>
      <c r="T199" s="105" t="str">
        <f>OB_Act[[#This Row],[Day]]&amp;OB_Act[[#This Row],[Dump Truck]]&amp;OB_Act[[#This Row],[Contractor]]&amp;OB_Act[[#This Row],[Excavator]]&amp;OB_Act[[#This Row],[Shift]]</f>
        <v/>
      </c>
      <c r="U199" s="126">
        <f>1/COUNTIF(OB_Act[Dummy_DT/Exc],OB_Act[[#This Row],[Dummy_DT/Exc]])</f>
        <v>4.1841004184100415E-3</v>
      </c>
      <c r="V199" s="126" t="e">
        <f>VLOOKUP(OB_Act[[#This Row],[Day]],$AO$2:$AR$32,4,0)</f>
        <v>#N/A</v>
      </c>
      <c r="W199" s="126" t="e">
        <f>VLOOKUP(OB_Act[[#This Row],[Dump Area]],$AE$2:$AF$51,2,0)</f>
        <v>#N/A</v>
      </c>
      <c r="X199" s="126" t="str">
        <f>OB_Act[[#This Row],[Excavator]]&amp;OB_Act[[#This Row],[Contractor]]</f>
        <v/>
      </c>
      <c r="Y199" s="126" t="e">
        <f>IF(OB_Act[[#This Row],[Material]]="MUD",VLOOKUP(OB_Act[[#This Row],[Dump Truck]],Type_mud[[Nama DT]:[Type]],2,0),VLOOKUP(OB_Act[[#This Row],[Dump Truck]],Type_DT_OB[[Nama DT]:[Type]],4,0))</f>
        <v>#N/A</v>
      </c>
      <c r="Z199" s="126" t="e">
        <f>"JBG-OP1-CENTRAL-"&amp;VLOOKUP(OB_Act[[#This Row],[Pit]],$AK$2:$AL$9,2,0)&amp;"-WASTE-"&amp;OB_Act[[#This Row],[Material]]</f>
        <v>#N/A</v>
      </c>
      <c r="AA199" s="126" t="e">
        <f>"JBG-DUMP1-"&amp;VLOOKUP(OB_Act[[#This Row],[Dump]],$AF$2:$AG$55,2,0)&amp;"-"&amp;OB_Act[[#This Row],[Material]]</f>
        <v>#N/A</v>
      </c>
      <c r="AB199" s="126" t="str">
        <f>"JBG-"&amp;OB_Act[[#This Row],[Material]]</f>
        <v>JBG-</v>
      </c>
    </row>
    <row r="200" spans="13:28">
      <c r="M200" s="105">
        <f>OB_Act[[#This Row],[Volume (BCM)]]*OB_Act[[#This Row],[Distance (Meter)]]</f>
        <v>0</v>
      </c>
      <c r="N200" s="105" t="str">
        <f>LEFT(OB_Act[[#This Row],[Dump Truck]],3)</f>
        <v/>
      </c>
      <c r="O200" s="126" t="str">
        <f>OB_Act[[#This Row],[Day]]&amp;OB_Act[[#This Row],[Excavator]]&amp;OB_Act[[#This Row],[Contractor]]&amp;OB_Act[[#This Row],[Pit]]&amp;OB_Act[[#This Row],[Shift]]</f>
        <v/>
      </c>
      <c r="P200" s="126">
        <f>1/COUNTIF(OB_Act[Dummy_Exc],OB_Act[[#This Row],[Dummy_Exc]])</f>
        <v>4.1841004184100415E-3</v>
      </c>
      <c r="Q200" s="105" t="str">
        <f>OB_Act[[#This Row],[Day]]&amp;OB_Act[[#This Row],[Dump Truck]]&amp;OB_Act[[#This Row],[Pit]]&amp;OB_Act[[#This Row],[Shift]]</f>
        <v/>
      </c>
      <c r="R200" s="126">
        <f>1/COUNTIF(OB_Act[Dummy_DT],OB_Act[[#This Row],[Dummy_DT]])</f>
        <v>4.1841004184100415E-3</v>
      </c>
      <c r="S200" s="126">
        <f>OB_Act[[#This Row],[Distance (Meter)]]*OB_Act[[#This Row],[Volume (BCM)]]</f>
        <v>0</v>
      </c>
      <c r="T200" s="105" t="str">
        <f>OB_Act[[#This Row],[Day]]&amp;OB_Act[[#This Row],[Dump Truck]]&amp;OB_Act[[#This Row],[Contractor]]&amp;OB_Act[[#This Row],[Excavator]]&amp;OB_Act[[#This Row],[Shift]]</f>
        <v/>
      </c>
      <c r="U200" s="126">
        <f>1/COUNTIF(OB_Act[Dummy_DT/Exc],OB_Act[[#This Row],[Dummy_DT/Exc]])</f>
        <v>4.1841004184100415E-3</v>
      </c>
      <c r="V200" s="126" t="e">
        <f>VLOOKUP(OB_Act[[#This Row],[Day]],$AO$2:$AR$32,4,0)</f>
        <v>#N/A</v>
      </c>
      <c r="W200" s="126" t="e">
        <f>VLOOKUP(OB_Act[[#This Row],[Dump Area]],$AE$2:$AF$51,2,0)</f>
        <v>#N/A</v>
      </c>
      <c r="X200" s="126" t="str">
        <f>OB_Act[[#This Row],[Excavator]]&amp;OB_Act[[#This Row],[Contractor]]</f>
        <v/>
      </c>
      <c r="Y200" s="126" t="e">
        <f>IF(OB_Act[[#This Row],[Material]]="MUD",VLOOKUP(OB_Act[[#This Row],[Dump Truck]],Type_mud[[Nama DT]:[Type]],2,0),VLOOKUP(OB_Act[[#This Row],[Dump Truck]],Type_DT_OB[[Nama DT]:[Type]],4,0))</f>
        <v>#N/A</v>
      </c>
      <c r="Z200" s="126" t="e">
        <f>"JBG-OP1-CENTRAL-"&amp;VLOOKUP(OB_Act[[#This Row],[Pit]],$AK$2:$AL$9,2,0)&amp;"-WASTE-"&amp;OB_Act[[#This Row],[Material]]</f>
        <v>#N/A</v>
      </c>
      <c r="AA200" s="126" t="e">
        <f>"JBG-DUMP1-"&amp;VLOOKUP(OB_Act[[#This Row],[Dump]],$AF$2:$AG$55,2,0)&amp;"-"&amp;OB_Act[[#This Row],[Material]]</f>
        <v>#N/A</v>
      </c>
      <c r="AB200" s="126" t="str">
        <f>"JBG-"&amp;OB_Act[[#This Row],[Material]]</f>
        <v>JBG-</v>
      </c>
    </row>
    <row r="201" spans="13:28">
      <c r="M201" s="105">
        <f>OB_Act[[#This Row],[Volume (BCM)]]*OB_Act[[#This Row],[Distance (Meter)]]</f>
        <v>0</v>
      </c>
      <c r="N201" s="105" t="str">
        <f>LEFT(OB_Act[[#This Row],[Dump Truck]],3)</f>
        <v/>
      </c>
      <c r="O201" s="126" t="str">
        <f>OB_Act[[#This Row],[Day]]&amp;OB_Act[[#This Row],[Excavator]]&amp;OB_Act[[#This Row],[Contractor]]&amp;OB_Act[[#This Row],[Pit]]&amp;OB_Act[[#This Row],[Shift]]</f>
        <v/>
      </c>
      <c r="P201" s="126">
        <f>1/COUNTIF(OB_Act[Dummy_Exc],OB_Act[[#This Row],[Dummy_Exc]])</f>
        <v>4.1841004184100415E-3</v>
      </c>
      <c r="Q201" s="105" t="str">
        <f>OB_Act[[#This Row],[Day]]&amp;OB_Act[[#This Row],[Dump Truck]]&amp;OB_Act[[#This Row],[Pit]]&amp;OB_Act[[#This Row],[Shift]]</f>
        <v/>
      </c>
      <c r="R201" s="126">
        <f>1/COUNTIF(OB_Act[Dummy_DT],OB_Act[[#This Row],[Dummy_DT]])</f>
        <v>4.1841004184100415E-3</v>
      </c>
      <c r="S201" s="126">
        <f>OB_Act[[#This Row],[Distance (Meter)]]*OB_Act[[#This Row],[Volume (BCM)]]</f>
        <v>0</v>
      </c>
      <c r="T201" s="105" t="str">
        <f>OB_Act[[#This Row],[Day]]&amp;OB_Act[[#This Row],[Dump Truck]]&amp;OB_Act[[#This Row],[Contractor]]&amp;OB_Act[[#This Row],[Excavator]]&amp;OB_Act[[#This Row],[Shift]]</f>
        <v/>
      </c>
      <c r="U201" s="126">
        <f>1/COUNTIF(OB_Act[Dummy_DT/Exc],OB_Act[[#This Row],[Dummy_DT/Exc]])</f>
        <v>4.1841004184100415E-3</v>
      </c>
      <c r="V201" s="126" t="e">
        <f>VLOOKUP(OB_Act[[#This Row],[Day]],$AO$2:$AR$32,4,0)</f>
        <v>#N/A</v>
      </c>
      <c r="W201" s="126" t="e">
        <f>VLOOKUP(OB_Act[[#This Row],[Dump Area]],$AE$2:$AF$51,2,0)</f>
        <v>#N/A</v>
      </c>
      <c r="X201" s="126" t="str">
        <f>OB_Act[[#This Row],[Excavator]]&amp;OB_Act[[#This Row],[Contractor]]</f>
        <v/>
      </c>
      <c r="Y201" s="126" t="e">
        <f>IF(OB_Act[[#This Row],[Material]]="MUD",VLOOKUP(OB_Act[[#This Row],[Dump Truck]],Type_mud[[Nama DT]:[Type]],2,0),VLOOKUP(OB_Act[[#This Row],[Dump Truck]],Type_DT_OB[[Nama DT]:[Type]],4,0))</f>
        <v>#N/A</v>
      </c>
      <c r="Z201" s="126" t="e">
        <f>"JBG-OP1-CENTRAL-"&amp;VLOOKUP(OB_Act[[#This Row],[Pit]],$AK$2:$AL$9,2,0)&amp;"-WASTE-"&amp;OB_Act[[#This Row],[Material]]</f>
        <v>#N/A</v>
      </c>
      <c r="AA201" s="126" t="e">
        <f>"JBG-DUMP1-"&amp;VLOOKUP(OB_Act[[#This Row],[Dump]],$AF$2:$AG$55,2,0)&amp;"-"&amp;OB_Act[[#This Row],[Material]]</f>
        <v>#N/A</v>
      </c>
      <c r="AB201" s="126" t="str">
        <f>"JBG-"&amp;OB_Act[[#This Row],[Material]]</f>
        <v>JBG-</v>
      </c>
    </row>
    <row r="202" spans="13:28">
      <c r="M202" s="105">
        <f>OB_Act[[#This Row],[Volume (BCM)]]*OB_Act[[#This Row],[Distance (Meter)]]</f>
        <v>0</v>
      </c>
      <c r="N202" s="105" t="str">
        <f>LEFT(OB_Act[[#This Row],[Dump Truck]],3)</f>
        <v/>
      </c>
      <c r="O202" s="126" t="str">
        <f>OB_Act[[#This Row],[Day]]&amp;OB_Act[[#This Row],[Excavator]]&amp;OB_Act[[#This Row],[Contractor]]&amp;OB_Act[[#This Row],[Pit]]&amp;OB_Act[[#This Row],[Shift]]</f>
        <v/>
      </c>
      <c r="P202" s="126">
        <f>1/COUNTIF(OB_Act[Dummy_Exc],OB_Act[[#This Row],[Dummy_Exc]])</f>
        <v>4.1841004184100415E-3</v>
      </c>
      <c r="Q202" s="105" t="str">
        <f>OB_Act[[#This Row],[Day]]&amp;OB_Act[[#This Row],[Dump Truck]]&amp;OB_Act[[#This Row],[Pit]]&amp;OB_Act[[#This Row],[Shift]]</f>
        <v/>
      </c>
      <c r="R202" s="126">
        <f>1/COUNTIF(OB_Act[Dummy_DT],OB_Act[[#This Row],[Dummy_DT]])</f>
        <v>4.1841004184100415E-3</v>
      </c>
      <c r="S202" s="126">
        <f>OB_Act[[#This Row],[Distance (Meter)]]*OB_Act[[#This Row],[Volume (BCM)]]</f>
        <v>0</v>
      </c>
      <c r="T202" s="105" t="str">
        <f>OB_Act[[#This Row],[Day]]&amp;OB_Act[[#This Row],[Dump Truck]]&amp;OB_Act[[#This Row],[Contractor]]&amp;OB_Act[[#This Row],[Excavator]]&amp;OB_Act[[#This Row],[Shift]]</f>
        <v/>
      </c>
      <c r="U202" s="126">
        <f>1/COUNTIF(OB_Act[Dummy_DT/Exc],OB_Act[[#This Row],[Dummy_DT/Exc]])</f>
        <v>4.1841004184100415E-3</v>
      </c>
      <c r="V202" s="126" t="e">
        <f>VLOOKUP(OB_Act[[#This Row],[Day]],$AO$2:$AR$32,4,0)</f>
        <v>#N/A</v>
      </c>
      <c r="W202" s="126" t="e">
        <f>VLOOKUP(OB_Act[[#This Row],[Dump Area]],$AE$2:$AF$51,2,0)</f>
        <v>#N/A</v>
      </c>
      <c r="X202" s="126" t="str">
        <f>OB_Act[[#This Row],[Excavator]]&amp;OB_Act[[#This Row],[Contractor]]</f>
        <v/>
      </c>
      <c r="Y202" s="126" t="e">
        <f>IF(OB_Act[[#This Row],[Material]]="MUD",VLOOKUP(OB_Act[[#This Row],[Dump Truck]],Type_mud[[Nama DT]:[Type]],2,0),VLOOKUP(OB_Act[[#This Row],[Dump Truck]],Type_DT_OB[[Nama DT]:[Type]],4,0))</f>
        <v>#N/A</v>
      </c>
      <c r="Z202" s="126" t="e">
        <f>"JBG-OP1-CENTRAL-"&amp;VLOOKUP(OB_Act[[#This Row],[Pit]],$AK$2:$AL$9,2,0)&amp;"-WASTE-"&amp;OB_Act[[#This Row],[Material]]</f>
        <v>#N/A</v>
      </c>
      <c r="AA202" s="126" t="e">
        <f>"JBG-DUMP1-"&amp;VLOOKUP(OB_Act[[#This Row],[Dump]],$AF$2:$AG$55,2,0)&amp;"-"&amp;OB_Act[[#This Row],[Material]]</f>
        <v>#N/A</v>
      </c>
      <c r="AB202" s="126" t="str">
        <f>"JBG-"&amp;OB_Act[[#This Row],[Material]]</f>
        <v>JBG-</v>
      </c>
    </row>
    <row r="203" spans="13:28">
      <c r="M203" s="105">
        <f>OB_Act[[#This Row],[Volume (BCM)]]*OB_Act[[#This Row],[Distance (Meter)]]</f>
        <v>0</v>
      </c>
      <c r="N203" s="105" t="str">
        <f>LEFT(OB_Act[[#This Row],[Dump Truck]],3)</f>
        <v/>
      </c>
      <c r="O203" s="126" t="str">
        <f>OB_Act[[#This Row],[Day]]&amp;OB_Act[[#This Row],[Excavator]]&amp;OB_Act[[#This Row],[Contractor]]&amp;OB_Act[[#This Row],[Pit]]&amp;OB_Act[[#This Row],[Shift]]</f>
        <v/>
      </c>
      <c r="P203" s="126">
        <f>1/COUNTIF(OB_Act[Dummy_Exc],OB_Act[[#This Row],[Dummy_Exc]])</f>
        <v>4.1841004184100415E-3</v>
      </c>
      <c r="Q203" s="105" t="str">
        <f>OB_Act[[#This Row],[Day]]&amp;OB_Act[[#This Row],[Dump Truck]]&amp;OB_Act[[#This Row],[Pit]]&amp;OB_Act[[#This Row],[Shift]]</f>
        <v/>
      </c>
      <c r="R203" s="126">
        <f>1/COUNTIF(OB_Act[Dummy_DT],OB_Act[[#This Row],[Dummy_DT]])</f>
        <v>4.1841004184100415E-3</v>
      </c>
      <c r="S203" s="126">
        <f>OB_Act[[#This Row],[Distance (Meter)]]*OB_Act[[#This Row],[Volume (BCM)]]</f>
        <v>0</v>
      </c>
      <c r="T203" s="105" t="str">
        <f>OB_Act[[#This Row],[Day]]&amp;OB_Act[[#This Row],[Dump Truck]]&amp;OB_Act[[#This Row],[Contractor]]&amp;OB_Act[[#This Row],[Excavator]]&amp;OB_Act[[#This Row],[Shift]]</f>
        <v/>
      </c>
      <c r="U203" s="126">
        <f>1/COUNTIF(OB_Act[Dummy_DT/Exc],OB_Act[[#This Row],[Dummy_DT/Exc]])</f>
        <v>4.1841004184100415E-3</v>
      </c>
      <c r="V203" s="126" t="e">
        <f>VLOOKUP(OB_Act[[#This Row],[Day]],$AO$2:$AR$32,4,0)</f>
        <v>#N/A</v>
      </c>
      <c r="W203" s="126" t="e">
        <f>VLOOKUP(OB_Act[[#This Row],[Dump Area]],$AE$2:$AF$51,2,0)</f>
        <v>#N/A</v>
      </c>
      <c r="X203" s="126" t="str">
        <f>OB_Act[[#This Row],[Excavator]]&amp;OB_Act[[#This Row],[Contractor]]</f>
        <v/>
      </c>
      <c r="Y203" s="126" t="e">
        <f>IF(OB_Act[[#This Row],[Material]]="MUD",VLOOKUP(OB_Act[[#This Row],[Dump Truck]],Type_mud[[Nama DT]:[Type]],2,0),VLOOKUP(OB_Act[[#This Row],[Dump Truck]],Type_DT_OB[[Nama DT]:[Type]],4,0))</f>
        <v>#N/A</v>
      </c>
      <c r="Z203" s="126" t="e">
        <f>"JBG-OP1-CENTRAL-"&amp;VLOOKUP(OB_Act[[#This Row],[Pit]],$AK$2:$AL$9,2,0)&amp;"-WASTE-"&amp;OB_Act[[#This Row],[Material]]</f>
        <v>#N/A</v>
      </c>
      <c r="AA203" s="126" t="e">
        <f>"JBG-DUMP1-"&amp;VLOOKUP(OB_Act[[#This Row],[Dump]],$AF$2:$AG$55,2,0)&amp;"-"&amp;OB_Act[[#This Row],[Material]]</f>
        <v>#N/A</v>
      </c>
      <c r="AB203" s="126" t="str">
        <f>"JBG-"&amp;OB_Act[[#This Row],[Material]]</f>
        <v>JBG-</v>
      </c>
    </row>
    <row r="204" spans="13:28">
      <c r="M204" s="105">
        <f>OB_Act[[#This Row],[Volume (BCM)]]*OB_Act[[#This Row],[Distance (Meter)]]</f>
        <v>0</v>
      </c>
      <c r="N204" s="105" t="str">
        <f>LEFT(OB_Act[[#This Row],[Dump Truck]],3)</f>
        <v/>
      </c>
      <c r="O204" s="126" t="str">
        <f>OB_Act[[#This Row],[Day]]&amp;OB_Act[[#This Row],[Excavator]]&amp;OB_Act[[#This Row],[Contractor]]&amp;OB_Act[[#This Row],[Pit]]&amp;OB_Act[[#This Row],[Shift]]</f>
        <v/>
      </c>
      <c r="P204" s="126">
        <f>1/COUNTIF(OB_Act[Dummy_Exc],OB_Act[[#This Row],[Dummy_Exc]])</f>
        <v>4.1841004184100415E-3</v>
      </c>
      <c r="Q204" s="105" t="str">
        <f>OB_Act[[#This Row],[Day]]&amp;OB_Act[[#This Row],[Dump Truck]]&amp;OB_Act[[#This Row],[Pit]]&amp;OB_Act[[#This Row],[Shift]]</f>
        <v/>
      </c>
      <c r="R204" s="126">
        <f>1/COUNTIF(OB_Act[Dummy_DT],OB_Act[[#This Row],[Dummy_DT]])</f>
        <v>4.1841004184100415E-3</v>
      </c>
      <c r="S204" s="126">
        <f>OB_Act[[#This Row],[Distance (Meter)]]*OB_Act[[#This Row],[Volume (BCM)]]</f>
        <v>0</v>
      </c>
      <c r="T204" s="105" t="str">
        <f>OB_Act[[#This Row],[Day]]&amp;OB_Act[[#This Row],[Dump Truck]]&amp;OB_Act[[#This Row],[Contractor]]&amp;OB_Act[[#This Row],[Excavator]]&amp;OB_Act[[#This Row],[Shift]]</f>
        <v/>
      </c>
      <c r="U204" s="126">
        <f>1/COUNTIF(OB_Act[Dummy_DT/Exc],OB_Act[[#This Row],[Dummy_DT/Exc]])</f>
        <v>4.1841004184100415E-3</v>
      </c>
      <c r="V204" s="126" t="e">
        <f>VLOOKUP(OB_Act[[#This Row],[Day]],$AO$2:$AR$32,4,0)</f>
        <v>#N/A</v>
      </c>
      <c r="W204" s="126" t="e">
        <f>VLOOKUP(OB_Act[[#This Row],[Dump Area]],$AE$2:$AF$51,2,0)</f>
        <v>#N/A</v>
      </c>
      <c r="X204" s="126" t="str">
        <f>OB_Act[[#This Row],[Excavator]]&amp;OB_Act[[#This Row],[Contractor]]</f>
        <v/>
      </c>
      <c r="Y204" s="126" t="e">
        <f>IF(OB_Act[[#This Row],[Material]]="MUD",VLOOKUP(OB_Act[[#This Row],[Dump Truck]],Type_mud[[Nama DT]:[Type]],2,0),VLOOKUP(OB_Act[[#This Row],[Dump Truck]],Type_DT_OB[[Nama DT]:[Type]],4,0))</f>
        <v>#N/A</v>
      </c>
      <c r="Z204" s="126" t="e">
        <f>"JBG-OP1-CENTRAL-"&amp;VLOOKUP(OB_Act[[#This Row],[Pit]],$AK$2:$AL$9,2,0)&amp;"-WASTE-"&amp;OB_Act[[#This Row],[Material]]</f>
        <v>#N/A</v>
      </c>
      <c r="AA204" s="126" t="e">
        <f>"JBG-DUMP1-"&amp;VLOOKUP(OB_Act[[#This Row],[Dump]],$AF$2:$AG$55,2,0)&amp;"-"&amp;OB_Act[[#This Row],[Material]]</f>
        <v>#N/A</v>
      </c>
      <c r="AB204" s="126" t="str">
        <f>"JBG-"&amp;OB_Act[[#This Row],[Material]]</f>
        <v>JBG-</v>
      </c>
    </row>
    <row r="205" spans="13:28">
      <c r="M205" s="105">
        <f>OB_Act[[#This Row],[Volume (BCM)]]*OB_Act[[#This Row],[Distance (Meter)]]</f>
        <v>0</v>
      </c>
      <c r="N205" s="105" t="str">
        <f>LEFT(OB_Act[[#This Row],[Dump Truck]],3)</f>
        <v/>
      </c>
      <c r="O205" s="126" t="str">
        <f>OB_Act[[#This Row],[Day]]&amp;OB_Act[[#This Row],[Excavator]]&amp;OB_Act[[#This Row],[Contractor]]&amp;OB_Act[[#This Row],[Pit]]&amp;OB_Act[[#This Row],[Shift]]</f>
        <v/>
      </c>
      <c r="P205" s="126">
        <f>1/COUNTIF(OB_Act[Dummy_Exc],OB_Act[[#This Row],[Dummy_Exc]])</f>
        <v>4.1841004184100415E-3</v>
      </c>
      <c r="Q205" s="105" t="str">
        <f>OB_Act[[#This Row],[Day]]&amp;OB_Act[[#This Row],[Dump Truck]]&amp;OB_Act[[#This Row],[Pit]]&amp;OB_Act[[#This Row],[Shift]]</f>
        <v/>
      </c>
      <c r="R205" s="126">
        <f>1/COUNTIF(OB_Act[Dummy_DT],OB_Act[[#This Row],[Dummy_DT]])</f>
        <v>4.1841004184100415E-3</v>
      </c>
      <c r="S205" s="126">
        <f>OB_Act[[#This Row],[Distance (Meter)]]*OB_Act[[#This Row],[Volume (BCM)]]</f>
        <v>0</v>
      </c>
      <c r="T205" s="105" t="str">
        <f>OB_Act[[#This Row],[Day]]&amp;OB_Act[[#This Row],[Dump Truck]]&amp;OB_Act[[#This Row],[Contractor]]&amp;OB_Act[[#This Row],[Excavator]]&amp;OB_Act[[#This Row],[Shift]]</f>
        <v/>
      </c>
      <c r="U205" s="126">
        <f>1/COUNTIF(OB_Act[Dummy_DT/Exc],OB_Act[[#This Row],[Dummy_DT/Exc]])</f>
        <v>4.1841004184100415E-3</v>
      </c>
      <c r="V205" s="126" t="e">
        <f>VLOOKUP(OB_Act[[#This Row],[Day]],$AO$2:$AR$32,4,0)</f>
        <v>#N/A</v>
      </c>
      <c r="W205" s="126" t="e">
        <f>VLOOKUP(OB_Act[[#This Row],[Dump Area]],$AE$2:$AF$51,2,0)</f>
        <v>#N/A</v>
      </c>
      <c r="X205" s="126" t="str">
        <f>OB_Act[[#This Row],[Excavator]]&amp;OB_Act[[#This Row],[Contractor]]</f>
        <v/>
      </c>
      <c r="Y205" s="126" t="e">
        <f>IF(OB_Act[[#This Row],[Material]]="MUD",VLOOKUP(OB_Act[[#This Row],[Dump Truck]],Type_mud[[Nama DT]:[Type]],2,0),VLOOKUP(OB_Act[[#This Row],[Dump Truck]],Type_DT_OB[[Nama DT]:[Type]],4,0))</f>
        <v>#N/A</v>
      </c>
      <c r="Z205" s="126" t="e">
        <f>"JBG-OP1-CENTRAL-"&amp;VLOOKUP(OB_Act[[#This Row],[Pit]],$AK$2:$AL$9,2,0)&amp;"-WASTE-"&amp;OB_Act[[#This Row],[Material]]</f>
        <v>#N/A</v>
      </c>
      <c r="AA205" s="126" t="e">
        <f>"JBG-DUMP1-"&amp;VLOOKUP(OB_Act[[#This Row],[Dump]],$AF$2:$AG$55,2,0)&amp;"-"&amp;OB_Act[[#This Row],[Material]]</f>
        <v>#N/A</v>
      </c>
      <c r="AB205" s="126" t="str">
        <f>"JBG-"&amp;OB_Act[[#This Row],[Material]]</f>
        <v>JBG-</v>
      </c>
    </row>
    <row r="206" spans="13:28">
      <c r="M206" s="105">
        <f>OB_Act[[#This Row],[Volume (BCM)]]*OB_Act[[#This Row],[Distance (Meter)]]</f>
        <v>0</v>
      </c>
      <c r="N206" s="105" t="str">
        <f>LEFT(OB_Act[[#This Row],[Dump Truck]],3)</f>
        <v/>
      </c>
      <c r="O206" s="126" t="str">
        <f>OB_Act[[#This Row],[Day]]&amp;OB_Act[[#This Row],[Excavator]]&amp;OB_Act[[#This Row],[Contractor]]&amp;OB_Act[[#This Row],[Pit]]&amp;OB_Act[[#This Row],[Shift]]</f>
        <v/>
      </c>
      <c r="P206" s="126">
        <f>1/COUNTIF(OB_Act[Dummy_Exc],OB_Act[[#This Row],[Dummy_Exc]])</f>
        <v>4.1841004184100415E-3</v>
      </c>
      <c r="Q206" s="105" t="str">
        <f>OB_Act[[#This Row],[Day]]&amp;OB_Act[[#This Row],[Dump Truck]]&amp;OB_Act[[#This Row],[Pit]]&amp;OB_Act[[#This Row],[Shift]]</f>
        <v/>
      </c>
      <c r="R206" s="126">
        <f>1/COUNTIF(OB_Act[Dummy_DT],OB_Act[[#This Row],[Dummy_DT]])</f>
        <v>4.1841004184100415E-3</v>
      </c>
      <c r="S206" s="126">
        <f>OB_Act[[#This Row],[Distance (Meter)]]*OB_Act[[#This Row],[Volume (BCM)]]</f>
        <v>0</v>
      </c>
      <c r="T206" s="105" t="str">
        <f>OB_Act[[#This Row],[Day]]&amp;OB_Act[[#This Row],[Dump Truck]]&amp;OB_Act[[#This Row],[Contractor]]&amp;OB_Act[[#This Row],[Excavator]]&amp;OB_Act[[#This Row],[Shift]]</f>
        <v/>
      </c>
      <c r="U206" s="126">
        <f>1/COUNTIF(OB_Act[Dummy_DT/Exc],OB_Act[[#This Row],[Dummy_DT/Exc]])</f>
        <v>4.1841004184100415E-3</v>
      </c>
      <c r="V206" s="126" t="e">
        <f>VLOOKUP(OB_Act[[#This Row],[Day]],$AO$2:$AR$32,4,0)</f>
        <v>#N/A</v>
      </c>
      <c r="W206" s="126" t="e">
        <f>VLOOKUP(OB_Act[[#This Row],[Dump Area]],$AE$2:$AF$51,2,0)</f>
        <v>#N/A</v>
      </c>
      <c r="X206" s="126" t="str">
        <f>OB_Act[[#This Row],[Excavator]]&amp;OB_Act[[#This Row],[Contractor]]</f>
        <v/>
      </c>
      <c r="Y206" s="126" t="e">
        <f>IF(OB_Act[[#This Row],[Material]]="MUD",VLOOKUP(OB_Act[[#This Row],[Dump Truck]],Type_mud[[Nama DT]:[Type]],2,0),VLOOKUP(OB_Act[[#This Row],[Dump Truck]],Type_DT_OB[[Nama DT]:[Type]],4,0))</f>
        <v>#N/A</v>
      </c>
      <c r="Z206" s="126" t="e">
        <f>"JBG-OP1-CENTRAL-"&amp;VLOOKUP(OB_Act[[#This Row],[Pit]],$AK$2:$AL$9,2,0)&amp;"-WASTE-"&amp;OB_Act[[#This Row],[Material]]</f>
        <v>#N/A</v>
      </c>
      <c r="AA206" s="126" t="e">
        <f>"JBG-DUMP1-"&amp;VLOOKUP(OB_Act[[#This Row],[Dump]],$AF$2:$AG$55,2,0)&amp;"-"&amp;OB_Act[[#This Row],[Material]]</f>
        <v>#N/A</v>
      </c>
      <c r="AB206" s="126" t="str">
        <f>"JBG-"&amp;OB_Act[[#This Row],[Material]]</f>
        <v>JBG-</v>
      </c>
    </row>
    <row r="207" spans="13:28">
      <c r="M207" s="105">
        <f>OB_Act[[#This Row],[Volume (BCM)]]*OB_Act[[#This Row],[Distance (Meter)]]</f>
        <v>0</v>
      </c>
      <c r="N207" s="105" t="str">
        <f>LEFT(OB_Act[[#This Row],[Dump Truck]],3)</f>
        <v/>
      </c>
      <c r="O207" s="126" t="str">
        <f>OB_Act[[#This Row],[Day]]&amp;OB_Act[[#This Row],[Excavator]]&amp;OB_Act[[#This Row],[Contractor]]&amp;OB_Act[[#This Row],[Pit]]&amp;OB_Act[[#This Row],[Shift]]</f>
        <v/>
      </c>
      <c r="P207" s="126">
        <f>1/COUNTIF(OB_Act[Dummy_Exc],OB_Act[[#This Row],[Dummy_Exc]])</f>
        <v>4.1841004184100415E-3</v>
      </c>
      <c r="Q207" s="105" t="str">
        <f>OB_Act[[#This Row],[Day]]&amp;OB_Act[[#This Row],[Dump Truck]]&amp;OB_Act[[#This Row],[Pit]]&amp;OB_Act[[#This Row],[Shift]]</f>
        <v/>
      </c>
      <c r="R207" s="126">
        <f>1/COUNTIF(OB_Act[Dummy_DT],OB_Act[[#This Row],[Dummy_DT]])</f>
        <v>4.1841004184100415E-3</v>
      </c>
      <c r="S207" s="126">
        <f>OB_Act[[#This Row],[Distance (Meter)]]*OB_Act[[#This Row],[Volume (BCM)]]</f>
        <v>0</v>
      </c>
      <c r="T207" s="105" t="str">
        <f>OB_Act[[#This Row],[Day]]&amp;OB_Act[[#This Row],[Dump Truck]]&amp;OB_Act[[#This Row],[Contractor]]&amp;OB_Act[[#This Row],[Excavator]]&amp;OB_Act[[#This Row],[Shift]]</f>
        <v/>
      </c>
      <c r="U207" s="126">
        <f>1/COUNTIF(OB_Act[Dummy_DT/Exc],OB_Act[[#This Row],[Dummy_DT/Exc]])</f>
        <v>4.1841004184100415E-3</v>
      </c>
      <c r="V207" s="126" t="e">
        <f>VLOOKUP(OB_Act[[#This Row],[Day]],$AO$2:$AR$32,4,0)</f>
        <v>#N/A</v>
      </c>
      <c r="W207" s="126" t="e">
        <f>VLOOKUP(OB_Act[[#This Row],[Dump Area]],$AE$2:$AF$51,2,0)</f>
        <v>#N/A</v>
      </c>
      <c r="X207" s="126" t="str">
        <f>OB_Act[[#This Row],[Excavator]]&amp;OB_Act[[#This Row],[Contractor]]</f>
        <v/>
      </c>
      <c r="Y207" s="126" t="e">
        <f>IF(OB_Act[[#This Row],[Material]]="MUD",VLOOKUP(OB_Act[[#This Row],[Dump Truck]],Type_mud[[Nama DT]:[Type]],2,0),VLOOKUP(OB_Act[[#This Row],[Dump Truck]],Type_DT_OB[[Nama DT]:[Type]],4,0))</f>
        <v>#N/A</v>
      </c>
      <c r="Z207" s="126" t="e">
        <f>"JBG-OP1-CENTRAL-"&amp;VLOOKUP(OB_Act[[#This Row],[Pit]],$AK$2:$AL$9,2,0)&amp;"-WASTE-"&amp;OB_Act[[#This Row],[Material]]</f>
        <v>#N/A</v>
      </c>
      <c r="AA207" s="126" t="e">
        <f>"JBG-DUMP1-"&amp;VLOOKUP(OB_Act[[#This Row],[Dump]],$AF$2:$AG$55,2,0)&amp;"-"&amp;OB_Act[[#This Row],[Material]]</f>
        <v>#N/A</v>
      </c>
      <c r="AB207" s="126" t="str">
        <f>"JBG-"&amp;OB_Act[[#This Row],[Material]]</f>
        <v>JBG-</v>
      </c>
    </row>
    <row r="208" spans="13:28">
      <c r="M208" s="105">
        <f>OB_Act[[#This Row],[Volume (BCM)]]*OB_Act[[#This Row],[Distance (Meter)]]</f>
        <v>0</v>
      </c>
      <c r="N208" s="105" t="str">
        <f>LEFT(OB_Act[[#This Row],[Dump Truck]],3)</f>
        <v/>
      </c>
      <c r="O208" s="126" t="str">
        <f>OB_Act[[#This Row],[Day]]&amp;OB_Act[[#This Row],[Excavator]]&amp;OB_Act[[#This Row],[Contractor]]&amp;OB_Act[[#This Row],[Pit]]&amp;OB_Act[[#This Row],[Shift]]</f>
        <v/>
      </c>
      <c r="P208" s="126">
        <f>1/COUNTIF(OB_Act[Dummy_Exc],OB_Act[[#This Row],[Dummy_Exc]])</f>
        <v>4.1841004184100415E-3</v>
      </c>
      <c r="Q208" s="105" t="str">
        <f>OB_Act[[#This Row],[Day]]&amp;OB_Act[[#This Row],[Dump Truck]]&amp;OB_Act[[#This Row],[Pit]]&amp;OB_Act[[#This Row],[Shift]]</f>
        <v/>
      </c>
      <c r="R208" s="126">
        <f>1/COUNTIF(OB_Act[Dummy_DT],OB_Act[[#This Row],[Dummy_DT]])</f>
        <v>4.1841004184100415E-3</v>
      </c>
      <c r="S208" s="126">
        <f>OB_Act[[#This Row],[Distance (Meter)]]*OB_Act[[#This Row],[Volume (BCM)]]</f>
        <v>0</v>
      </c>
      <c r="T208" s="105" t="str">
        <f>OB_Act[[#This Row],[Day]]&amp;OB_Act[[#This Row],[Dump Truck]]&amp;OB_Act[[#This Row],[Contractor]]&amp;OB_Act[[#This Row],[Excavator]]&amp;OB_Act[[#This Row],[Shift]]</f>
        <v/>
      </c>
      <c r="U208" s="126">
        <f>1/COUNTIF(OB_Act[Dummy_DT/Exc],OB_Act[[#This Row],[Dummy_DT/Exc]])</f>
        <v>4.1841004184100415E-3</v>
      </c>
      <c r="V208" s="126" t="e">
        <f>VLOOKUP(OB_Act[[#This Row],[Day]],$AO$2:$AR$32,4,0)</f>
        <v>#N/A</v>
      </c>
      <c r="W208" s="126" t="e">
        <f>VLOOKUP(OB_Act[[#This Row],[Dump Area]],$AE$2:$AF$51,2,0)</f>
        <v>#N/A</v>
      </c>
      <c r="X208" s="126" t="str">
        <f>OB_Act[[#This Row],[Excavator]]&amp;OB_Act[[#This Row],[Contractor]]</f>
        <v/>
      </c>
      <c r="Y208" s="126" t="e">
        <f>IF(OB_Act[[#This Row],[Material]]="MUD",VLOOKUP(OB_Act[[#This Row],[Dump Truck]],Type_mud[[Nama DT]:[Type]],2,0),VLOOKUP(OB_Act[[#This Row],[Dump Truck]],Type_DT_OB[[Nama DT]:[Type]],4,0))</f>
        <v>#N/A</v>
      </c>
      <c r="Z208" s="126" t="e">
        <f>"JBG-OP1-CENTRAL-"&amp;VLOOKUP(OB_Act[[#This Row],[Pit]],$AK$2:$AL$9,2,0)&amp;"-WASTE-"&amp;OB_Act[[#This Row],[Material]]</f>
        <v>#N/A</v>
      </c>
      <c r="AA208" s="126" t="e">
        <f>"JBG-DUMP1-"&amp;VLOOKUP(OB_Act[[#This Row],[Dump]],$AF$2:$AG$55,2,0)&amp;"-"&amp;OB_Act[[#This Row],[Material]]</f>
        <v>#N/A</v>
      </c>
      <c r="AB208" s="126" t="str">
        <f>"JBG-"&amp;OB_Act[[#This Row],[Material]]</f>
        <v>JBG-</v>
      </c>
    </row>
    <row r="209" spans="13:28">
      <c r="M209" s="105">
        <f>OB_Act[[#This Row],[Volume (BCM)]]*OB_Act[[#This Row],[Distance (Meter)]]</f>
        <v>0</v>
      </c>
      <c r="N209" s="105" t="str">
        <f>LEFT(OB_Act[[#This Row],[Dump Truck]],3)</f>
        <v/>
      </c>
      <c r="O209" s="126" t="str">
        <f>OB_Act[[#This Row],[Day]]&amp;OB_Act[[#This Row],[Excavator]]&amp;OB_Act[[#This Row],[Contractor]]&amp;OB_Act[[#This Row],[Pit]]&amp;OB_Act[[#This Row],[Shift]]</f>
        <v/>
      </c>
      <c r="P209" s="126">
        <f>1/COUNTIF(OB_Act[Dummy_Exc],OB_Act[[#This Row],[Dummy_Exc]])</f>
        <v>4.1841004184100415E-3</v>
      </c>
      <c r="Q209" s="105" t="str">
        <f>OB_Act[[#This Row],[Day]]&amp;OB_Act[[#This Row],[Dump Truck]]&amp;OB_Act[[#This Row],[Pit]]&amp;OB_Act[[#This Row],[Shift]]</f>
        <v/>
      </c>
      <c r="R209" s="126">
        <f>1/COUNTIF(OB_Act[Dummy_DT],OB_Act[[#This Row],[Dummy_DT]])</f>
        <v>4.1841004184100415E-3</v>
      </c>
      <c r="S209" s="126">
        <f>OB_Act[[#This Row],[Distance (Meter)]]*OB_Act[[#This Row],[Volume (BCM)]]</f>
        <v>0</v>
      </c>
      <c r="T209" s="105" t="str">
        <f>OB_Act[[#This Row],[Day]]&amp;OB_Act[[#This Row],[Dump Truck]]&amp;OB_Act[[#This Row],[Contractor]]&amp;OB_Act[[#This Row],[Excavator]]&amp;OB_Act[[#This Row],[Shift]]</f>
        <v/>
      </c>
      <c r="U209" s="126">
        <f>1/COUNTIF(OB_Act[Dummy_DT/Exc],OB_Act[[#This Row],[Dummy_DT/Exc]])</f>
        <v>4.1841004184100415E-3</v>
      </c>
      <c r="V209" s="126" t="e">
        <f>VLOOKUP(OB_Act[[#This Row],[Day]],$AO$2:$AR$32,4,0)</f>
        <v>#N/A</v>
      </c>
      <c r="W209" s="126" t="e">
        <f>VLOOKUP(OB_Act[[#This Row],[Dump Area]],$AE$2:$AF$51,2,0)</f>
        <v>#N/A</v>
      </c>
      <c r="X209" s="126" t="str">
        <f>OB_Act[[#This Row],[Excavator]]&amp;OB_Act[[#This Row],[Contractor]]</f>
        <v/>
      </c>
      <c r="Y209" s="126" t="e">
        <f>IF(OB_Act[[#This Row],[Material]]="MUD",VLOOKUP(OB_Act[[#This Row],[Dump Truck]],Type_mud[[Nama DT]:[Type]],2,0),VLOOKUP(OB_Act[[#This Row],[Dump Truck]],Type_DT_OB[[Nama DT]:[Type]],4,0))</f>
        <v>#N/A</v>
      </c>
      <c r="Z209" s="126" t="e">
        <f>"JBG-OP1-CENTRAL-"&amp;VLOOKUP(OB_Act[[#This Row],[Pit]],$AK$2:$AL$9,2,0)&amp;"-WASTE-"&amp;OB_Act[[#This Row],[Material]]</f>
        <v>#N/A</v>
      </c>
      <c r="AA209" s="126" t="e">
        <f>"JBG-DUMP1-"&amp;VLOOKUP(OB_Act[[#This Row],[Dump]],$AF$2:$AG$55,2,0)&amp;"-"&amp;OB_Act[[#This Row],[Material]]</f>
        <v>#N/A</v>
      </c>
      <c r="AB209" s="126" t="str">
        <f>"JBG-"&amp;OB_Act[[#This Row],[Material]]</f>
        <v>JBG-</v>
      </c>
    </row>
    <row r="210" spans="13:28">
      <c r="M210" s="105">
        <f>OB_Act[[#This Row],[Volume (BCM)]]*OB_Act[[#This Row],[Distance (Meter)]]</f>
        <v>0</v>
      </c>
      <c r="N210" s="105" t="str">
        <f>LEFT(OB_Act[[#This Row],[Dump Truck]],3)</f>
        <v/>
      </c>
      <c r="O210" s="126" t="str">
        <f>OB_Act[[#This Row],[Day]]&amp;OB_Act[[#This Row],[Excavator]]&amp;OB_Act[[#This Row],[Contractor]]&amp;OB_Act[[#This Row],[Pit]]&amp;OB_Act[[#This Row],[Shift]]</f>
        <v/>
      </c>
      <c r="P210" s="126">
        <f>1/COUNTIF(OB_Act[Dummy_Exc],OB_Act[[#This Row],[Dummy_Exc]])</f>
        <v>4.1841004184100415E-3</v>
      </c>
      <c r="Q210" s="105" t="str">
        <f>OB_Act[[#This Row],[Day]]&amp;OB_Act[[#This Row],[Dump Truck]]&amp;OB_Act[[#This Row],[Pit]]&amp;OB_Act[[#This Row],[Shift]]</f>
        <v/>
      </c>
      <c r="R210" s="126">
        <f>1/COUNTIF(OB_Act[Dummy_DT],OB_Act[[#This Row],[Dummy_DT]])</f>
        <v>4.1841004184100415E-3</v>
      </c>
      <c r="S210" s="126">
        <f>OB_Act[[#This Row],[Distance (Meter)]]*OB_Act[[#This Row],[Volume (BCM)]]</f>
        <v>0</v>
      </c>
      <c r="T210" s="105" t="str">
        <f>OB_Act[[#This Row],[Day]]&amp;OB_Act[[#This Row],[Dump Truck]]&amp;OB_Act[[#This Row],[Contractor]]&amp;OB_Act[[#This Row],[Excavator]]&amp;OB_Act[[#This Row],[Shift]]</f>
        <v/>
      </c>
      <c r="U210" s="126">
        <f>1/COUNTIF(OB_Act[Dummy_DT/Exc],OB_Act[[#This Row],[Dummy_DT/Exc]])</f>
        <v>4.1841004184100415E-3</v>
      </c>
      <c r="V210" s="126" t="e">
        <f>VLOOKUP(OB_Act[[#This Row],[Day]],$AO$2:$AR$32,4,0)</f>
        <v>#N/A</v>
      </c>
      <c r="W210" s="126" t="e">
        <f>VLOOKUP(OB_Act[[#This Row],[Dump Area]],$AE$2:$AF$51,2,0)</f>
        <v>#N/A</v>
      </c>
      <c r="X210" s="126" t="str">
        <f>OB_Act[[#This Row],[Excavator]]&amp;OB_Act[[#This Row],[Contractor]]</f>
        <v/>
      </c>
      <c r="Y210" s="126" t="e">
        <f>IF(OB_Act[[#This Row],[Material]]="MUD",VLOOKUP(OB_Act[[#This Row],[Dump Truck]],Type_mud[[Nama DT]:[Type]],2,0),VLOOKUP(OB_Act[[#This Row],[Dump Truck]],Type_DT_OB[[Nama DT]:[Type]],4,0))</f>
        <v>#N/A</v>
      </c>
      <c r="Z210" s="126" t="e">
        <f>"JBG-OP1-CENTRAL-"&amp;VLOOKUP(OB_Act[[#This Row],[Pit]],$AK$2:$AL$9,2,0)&amp;"-WASTE-"&amp;OB_Act[[#This Row],[Material]]</f>
        <v>#N/A</v>
      </c>
      <c r="AA210" s="126" t="e">
        <f>"JBG-DUMP1-"&amp;VLOOKUP(OB_Act[[#This Row],[Dump]],$AF$2:$AG$55,2,0)&amp;"-"&amp;OB_Act[[#This Row],[Material]]</f>
        <v>#N/A</v>
      </c>
      <c r="AB210" s="126" t="str">
        <f>"JBG-"&amp;OB_Act[[#This Row],[Material]]</f>
        <v>JBG-</v>
      </c>
    </row>
    <row r="211" spans="13:28">
      <c r="M211" s="105">
        <f>OB_Act[[#This Row],[Volume (BCM)]]*OB_Act[[#This Row],[Distance (Meter)]]</f>
        <v>0</v>
      </c>
      <c r="N211" s="105" t="str">
        <f>LEFT(OB_Act[[#This Row],[Dump Truck]],3)</f>
        <v/>
      </c>
      <c r="O211" s="126" t="str">
        <f>OB_Act[[#This Row],[Day]]&amp;OB_Act[[#This Row],[Excavator]]&amp;OB_Act[[#This Row],[Contractor]]&amp;OB_Act[[#This Row],[Pit]]&amp;OB_Act[[#This Row],[Shift]]</f>
        <v/>
      </c>
      <c r="P211" s="126">
        <f>1/COUNTIF(OB_Act[Dummy_Exc],OB_Act[[#This Row],[Dummy_Exc]])</f>
        <v>4.1841004184100415E-3</v>
      </c>
      <c r="Q211" s="105" t="str">
        <f>OB_Act[[#This Row],[Day]]&amp;OB_Act[[#This Row],[Dump Truck]]&amp;OB_Act[[#This Row],[Pit]]&amp;OB_Act[[#This Row],[Shift]]</f>
        <v/>
      </c>
      <c r="R211" s="126">
        <f>1/COUNTIF(OB_Act[Dummy_DT],OB_Act[[#This Row],[Dummy_DT]])</f>
        <v>4.1841004184100415E-3</v>
      </c>
      <c r="S211" s="126">
        <f>OB_Act[[#This Row],[Distance (Meter)]]*OB_Act[[#This Row],[Volume (BCM)]]</f>
        <v>0</v>
      </c>
      <c r="T211" s="105" t="str">
        <f>OB_Act[[#This Row],[Day]]&amp;OB_Act[[#This Row],[Dump Truck]]&amp;OB_Act[[#This Row],[Contractor]]&amp;OB_Act[[#This Row],[Excavator]]&amp;OB_Act[[#This Row],[Shift]]</f>
        <v/>
      </c>
      <c r="U211" s="126">
        <f>1/COUNTIF(OB_Act[Dummy_DT/Exc],OB_Act[[#This Row],[Dummy_DT/Exc]])</f>
        <v>4.1841004184100415E-3</v>
      </c>
      <c r="V211" s="126" t="e">
        <f>VLOOKUP(OB_Act[[#This Row],[Day]],$AO$2:$AR$32,4,0)</f>
        <v>#N/A</v>
      </c>
      <c r="W211" s="126" t="e">
        <f>VLOOKUP(OB_Act[[#This Row],[Dump Area]],$AE$2:$AF$51,2,0)</f>
        <v>#N/A</v>
      </c>
      <c r="X211" s="126" t="str">
        <f>OB_Act[[#This Row],[Excavator]]&amp;OB_Act[[#This Row],[Contractor]]</f>
        <v/>
      </c>
      <c r="Y211" s="126" t="e">
        <f>IF(OB_Act[[#This Row],[Material]]="MUD",VLOOKUP(OB_Act[[#This Row],[Dump Truck]],Type_mud[[Nama DT]:[Type]],2,0),VLOOKUP(OB_Act[[#This Row],[Dump Truck]],Type_DT_OB[[Nama DT]:[Type]],4,0))</f>
        <v>#N/A</v>
      </c>
      <c r="Z211" s="126" t="e">
        <f>"JBG-OP1-CENTRAL-"&amp;VLOOKUP(OB_Act[[#This Row],[Pit]],$AK$2:$AL$9,2,0)&amp;"-WASTE-"&amp;OB_Act[[#This Row],[Material]]</f>
        <v>#N/A</v>
      </c>
      <c r="AA211" s="126" t="e">
        <f>"JBG-DUMP1-"&amp;VLOOKUP(OB_Act[[#This Row],[Dump]],$AF$2:$AG$55,2,0)&amp;"-"&amp;OB_Act[[#This Row],[Material]]</f>
        <v>#N/A</v>
      </c>
      <c r="AB211" s="126" t="str">
        <f>"JBG-"&amp;OB_Act[[#This Row],[Material]]</f>
        <v>JBG-</v>
      </c>
    </row>
    <row r="212" spans="13:28">
      <c r="M212" s="105">
        <f>OB_Act[[#This Row],[Volume (BCM)]]*OB_Act[[#This Row],[Distance (Meter)]]</f>
        <v>0</v>
      </c>
      <c r="N212" s="105" t="str">
        <f>LEFT(OB_Act[[#This Row],[Dump Truck]],3)</f>
        <v/>
      </c>
      <c r="O212" s="126" t="str">
        <f>OB_Act[[#This Row],[Day]]&amp;OB_Act[[#This Row],[Excavator]]&amp;OB_Act[[#This Row],[Contractor]]&amp;OB_Act[[#This Row],[Pit]]&amp;OB_Act[[#This Row],[Shift]]</f>
        <v/>
      </c>
      <c r="P212" s="126">
        <f>1/COUNTIF(OB_Act[Dummy_Exc],OB_Act[[#This Row],[Dummy_Exc]])</f>
        <v>4.1841004184100415E-3</v>
      </c>
      <c r="Q212" s="105" t="str">
        <f>OB_Act[[#This Row],[Day]]&amp;OB_Act[[#This Row],[Dump Truck]]&amp;OB_Act[[#This Row],[Pit]]&amp;OB_Act[[#This Row],[Shift]]</f>
        <v/>
      </c>
      <c r="R212" s="126">
        <f>1/COUNTIF(OB_Act[Dummy_DT],OB_Act[[#This Row],[Dummy_DT]])</f>
        <v>4.1841004184100415E-3</v>
      </c>
      <c r="S212" s="126">
        <f>OB_Act[[#This Row],[Distance (Meter)]]*OB_Act[[#This Row],[Volume (BCM)]]</f>
        <v>0</v>
      </c>
      <c r="T212" s="105" t="str">
        <f>OB_Act[[#This Row],[Day]]&amp;OB_Act[[#This Row],[Dump Truck]]&amp;OB_Act[[#This Row],[Contractor]]&amp;OB_Act[[#This Row],[Excavator]]&amp;OB_Act[[#This Row],[Shift]]</f>
        <v/>
      </c>
      <c r="U212" s="126">
        <f>1/COUNTIF(OB_Act[Dummy_DT/Exc],OB_Act[[#This Row],[Dummy_DT/Exc]])</f>
        <v>4.1841004184100415E-3</v>
      </c>
      <c r="V212" s="126" t="e">
        <f>VLOOKUP(OB_Act[[#This Row],[Day]],$AO$2:$AR$32,4,0)</f>
        <v>#N/A</v>
      </c>
      <c r="W212" s="126" t="e">
        <f>VLOOKUP(OB_Act[[#This Row],[Dump Area]],$AE$2:$AF$51,2,0)</f>
        <v>#N/A</v>
      </c>
      <c r="X212" s="126" t="str">
        <f>OB_Act[[#This Row],[Excavator]]&amp;OB_Act[[#This Row],[Contractor]]</f>
        <v/>
      </c>
      <c r="Y212" s="126" t="e">
        <f>IF(OB_Act[[#This Row],[Material]]="MUD",VLOOKUP(OB_Act[[#This Row],[Dump Truck]],Type_mud[[Nama DT]:[Type]],2,0),VLOOKUP(OB_Act[[#This Row],[Dump Truck]],Type_DT_OB[[Nama DT]:[Type]],4,0))</f>
        <v>#N/A</v>
      </c>
      <c r="Z212" s="126" t="e">
        <f>"JBG-OP1-CENTRAL-"&amp;VLOOKUP(OB_Act[[#This Row],[Pit]],$AK$2:$AL$9,2,0)&amp;"-WASTE-"&amp;OB_Act[[#This Row],[Material]]</f>
        <v>#N/A</v>
      </c>
      <c r="AA212" s="126" t="e">
        <f>"JBG-DUMP1-"&amp;VLOOKUP(OB_Act[[#This Row],[Dump]],$AF$2:$AG$55,2,0)&amp;"-"&amp;OB_Act[[#This Row],[Material]]</f>
        <v>#N/A</v>
      </c>
      <c r="AB212" s="126" t="str">
        <f>"JBG-"&amp;OB_Act[[#This Row],[Material]]</f>
        <v>JBG-</v>
      </c>
    </row>
    <row r="213" spans="13:28">
      <c r="M213" s="105">
        <f>OB_Act[[#This Row],[Volume (BCM)]]*OB_Act[[#This Row],[Distance (Meter)]]</f>
        <v>0</v>
      </c>
      <c r="N213" s="105" t="str">
        <f>LEFT(OB_Act[[#This Row],[Dump Truck]],3)</f>
        <v/>
      </c>
      <c r="O213" s="126" t="str">
        <f>OB_Act[[#This Row],[Day]]&amp;OB_Act[[#This Row],[Excavator]]&amp;OB_Act[[#This Row],[Contractor]]&amp;OB_Act[[#This Row],[Pit]]&amp;OB_Act[[#This Row],[Shift]]</f>
        <v/>
      </c>
      <c r="P213" s="126">
        <f>1/COUNTIF(OB_Act[Dummy_Exc],OB_Act[[#This Row],[Dummy_Exc]])</f>
        <v>4.1841004184100415E-3</v>
      </c>
      <c r="Q213" s="105" t="str">
        <f>OB_Act[[#This Row],[Day]]&amp;OB_Act[[#This Row],[Dump Truck]]&amp;OB_Act[[#This Row],[Pit]]&amp;OB_Act[[#This Row],[Shift]]</f>
        <v/>
      </c>
      <c r="R213" s="126">
        <f>1/COUNTIF(OB_Act[Dummy_DT],OB_Act[[#This Row],[Dummy_DT]])</f>
        <v>4.1841004184100415E-3</v>
      </c>
      <c r="S213" s="126">
        <f>OB_Act[[#This Row],[Distance (Meter)]]*OB_Act[[#This Row],[Volume (BCM)]]</f>
        <v>0</v>
      </c>
      <c r="T213" s="105" t="str">
        <f>OB_Act[[#This Row],[Day]]&amp;OB_Act[[#This Row],[Dump Truck]]&amp;OB_Act[[#This Row],[Contractor]]&amp;OB_Act[[#This Row],[Excavator]]&amp;OB_Act[[#This Row],[Shift]]</f>
        <v/>
      </c>
      <c r="U213" s="126">
        <f>1/COUNTIF(OB_Act[Dummy_DT/Exc],OB_Act[[#This Row],[Dummy_DT/Exc]])</f>
        <v>4.1841004184100415E-3</v>
      </c>
      <c r="V213" s="126" t="e">
        <f>VLOOKUP(OB_Act[[#This Row],[Day]],$AO$2:$AR$32,4,0)</f>
        <v>#N/A</v>
      </c>
      <c r="W213" s="126" t="e">
        <f>VLOOKUP(OB_Act[[#This Row],[Dump Area]],$AE$2:$AF$51,2,0)</f>
        <v>#N/A</v>
      </c>
      <c r="X213" s="126" t="str">
        <f>OB_Act[[#This Row],[Excavator]]&amp;OB_Act[[#This Row],[Contractor]]</f>
        <v/>
      </c>
      <c r="Y213" s="126" t="e">
        <f>IF(OB_Act[[#This Row],[Material]]="MUD",VLOOKUP(OB_Act[[#This Row],[Dump Truck]],Type_mud[[Nama DT]:[Type]],2,0),VLOOKUP(OB_Act[[#This Row],[Dump Truck]],Type_DT_OB[[Nama DT]:[Type]],4,0))</f>
        <v>#N/A</v>
      </c>
      <c r="Z213" s="126" t="e">
        <f>"JBG-OP1-CENTRAL-"&amp;VLOOKUP(OB_Act[[#This Row],[Pit]],$AK$2:$AL$9,2,0)&amp;"-WASTE-"&amp;OB_Act[[#This Row],[Material]]</f>
        <v>#N/A</v>
      </c>
      <c r="AA213" s="126" t="e">
        <f>"JBG-DUMP1-"&amp;VLOOKUP(OB_Act[[#This Row],[Dump]],$AF$2:$AG$55,2,0)&amp;"-"&amp;OB_Act[[#This Row],[Material]]</f>
        <v>#N/A</v>
      </c>
      <c r="AB213" s="126" t="str">
        <f>"JBG-"&amp;OB_Act[[#This Row],[Material]]</f>
        <v>JBG-</v>
      </c>
    </row>
    <row r="214" spans="13:28">
      <c r="M214" s="105">
        <f>OB_Act[[#This Row],[Volume (BCM)]]*OB_Act[[#This Row],[Distance (Meter)]]</f>
        <v>0</v>
      </c>
      <c r="N214" s="105" t="str">
        <f>LEFT(OB_Act[[#This Row],[Dump Truck]],3)</f>
        <v/>
      </c>
      <c r="O214" s="126" t="str">
        <f>OB_Act[[#This Row],[Day]]&amp;OB_Act[[#This Row],[Excavator]]&amp;OB_Act[[#This Row],[Contractor]]&amp;OB_Act[[#This Row],[Pit]]&amp;OB_Act[[#This Row],[Shift]]</f>
        <v/>
      </c>
      <c r="P214" s="126">
        <f>1/COUNTIF(OB_Act[Dummy_Exc],OB_Act[[#This Row],[Dummy_Exc]])</f>
        <v>4.1841004184100415E-3</v>
      </c>
      <c r="Q214" s="105" t="str">
        <f>OB_Act[[#This Row],[Day]]&amp;OB_Act[[#This Row],[Dump Truck]]&amp;OB_Act[[#This Row],[Pit]]&amp;OB_Act[[#This Row],[Shift]]</f>
        <v/>
      </c>
      <c r="R214" s="126">
        <f>1/COUNTIF(OB_Act[Dummy_DT],OB_Act[[#This Row],[Dummy_DT]])</f>
        <v>4.1841004184100415E-3</v>
      </c>
      <c r="S214" s="126">
        <f>OB_Act[[#This Row],[Distance (Meter)]]*OB_Act[[#This Row],[Volume (BCM)]]</f>
        <v>0</v>
      </c>
      <c r="T214" s="105" t="str">
        <f>OB_Act[[#This Row],[Day]]&amp;OB_Act[[#This Row],[Dump Truck]]&amp;OB_Act[[#This Row],[Contractor]]&amp;OB_Act[[#This Row],[Excavator]]&amp;OB_Act[[#This Row],[Shift]]</f>
        <v/>
      </c>
      <c r="U214" s="126">
        <f>1/COUNTIF(OB_Act[Dummy_DT/Exc],OB_Act[[#This Row],[Dummy_DT/Exc]])</f>
        <v>4.1841004184100415E-3</v>
      </c>
      <c r="V214" s="126" t="e">
        <f>VLOOKUP(OB_Act[[#This Row],[Day]],$AO$2:$AR$32,4,0)</f>
        <v>#N/A</v>
      </c>
      <c r="W214" s="126" t="e">
        <f>VLOOKUP(OB_Act[[#This Row],[Dump Area]],$AE$2:$AF$51,2,0)</f>
        <v>#N/A</v>
      </c>
      <c r="X214" s="126" t="str">
        <f>OB_Act[[#This Row],[Excavator]]&amp;OB_Act[[#This Row],[Contractor]]</f>
        <v/>
      </c>
      <c r="Y214" s="126" t="e">
        <f>IF(OB_Act[[#This Row],[Material]]="MUD",VLOOKUP(OB_Act[[#This Row],[Dump Truck]],Type_mud[[Nama DT]:[Type]],2,0),VLOOKUP(OB_Act[[#This Row],[Dump Truck]],Type_DT_OB[[Nama DT]:[Type]],4,0))</f>
        <v>#N/A</v>
      </c>
      <c r="Z214" s="126" t="e">
        <f>"JBG-OP1-CENTRAL-"&amp;VLOOKUP(OB_Act[[#This Row],[Pit]],$AK$2:$AL$9,2,0)&amp;"-WASTE-"&amp;OB_Act[[#This Row],[Material]]</f>
        <v>#N/A</v>
      </c>
      <c r="AA214" s="126" t="e">
        <f>"JBG-DUMP1-"&amp;VLOOKUP(OB_Act[[#This Row],[Dump]],$AF$2:$AG$55,2,0)&amp;"-"&amp;OB_Act[[#This Row],[Material]]</f>
        <v>#N/A</v>
      </c>
      <c r="AB214" s="126" t="str">
        <f>"JBG-"&amp;OB_Act[[#This Row],[Material]]</f>
        <v>JBG-</v>
      </c>
    </row>
    <row r="215" spans="13:28">
      <c r="M215" s="105">
        <f>OB_Act[[#This Row],[Volume (BCM)]]*OB_Act[[#This Row],[Distance (Meter)]]</f>
        <v>0</v>
      </c>
      <c r="N215" s="105" t="str">
        <f>LEFT(OB_Act[[#This Row],[Dump Truck]],3)</f>
        <v/>
      </c>
      <c r="O215" s="126" t="str">
        <f>OB_Act[[#This Row],[Day]]&amp;OB_Act[[#This Row],[Excavator]]&amp;OB_Act[[#This Row],[Contractor]]&amp;OB_Act[[#This Row],[Pit]]&amp;OB_Act[[#This Row],[Shift]]</f>
        <v/>
      </c>
      <c r="P215" s="126">
        <f>1/COUNTIF(OB_Act[Dummy_Exc],OB_Act[[#This Row],[Dummy_Exc]])</f>
        <v>4.1841004184100415E-3</v>
      </c>
      <c r="Q215" s="105" t="str">
        <f>OB_Act[[#This Row],[Day]]&amp;OB_Act[[#This Row],[Dump Truck]]&amp;OB_Act[[#This Row],[Pit]]&amp;OB_Act[[#This Row],[Shift]]</f>
        <v/>
      </c>
      <c r="R215" s="126">
        <f>1/COUNTIF(OB_Act[Dummy_DT],OB_Act[[#This Row],[Dummy_DT]])</f>
        <v>4.1841004184100415E-3</v>
      </c>
      <c r="S215" s="126">
        <f>OB_Act[[#This Row],[Distance (Meter)]]*OB_Act[[#This Row],[Volume (BCM)]]</f>
        <v>0</v>
      </c>
      <c r="T215" s="105" t="str">
        <f>OB_Act[[#This Row],[Day]]&amp;OB_Act[[#This Row],[Dump Truck]]&amp;OB_Act[[#This Row],[Contractor]]&amp;OB_Act[[#This Row],[Excavator]]&amp;OB_Act[[#This Row],[Shift]]</f>
        <v/>
      </c>
      <c r="U215" s="126">
        <f>1/COUNTIF(OB_Act[Dummy_DT/Exc],OB_Act[[#This Row],[Dummy_DT/Exc]])</f>
        <v>4.1841004184100415E-3</v>
      </c>
      <c r="V215" s="126" t="e">
        <f>VLOOKUP(OB_Act[[#This Row],[Day]],$AO$2:$AR$32,4,0)</f>
        <v>#N/A</v>
      </c>
      <c r="W215" s="126" t="e">
        <f>VLOOKUP(OB_Act[[#This Row],[Dump Area]],$AE$2:$AF$51,2,0)</f>
        <v>#N/A</v>
      </c>
      <c r="X215" s="126" t="str">
        <f>OB_Act[[#This Row],[Excavator]]&amp;OB_Act[[#This Row],[Contractor]]</f>
        <v/>
      </c>
      <c r="Y215" s="126" t="e">
        <f>IF(OB_Act[[#This Row],[Material]]="MUD",VLOOKUP(OB_Act[[#This Row],[Dump Truck]],Type_mud[[Nama DT]:[Type]],2,0),VLOOKUP(OB_Act[[#This Row],[Dump Truck]],Type_DT_OB[[Nama DT]:[Type]],4,0))</f>
        <v>#N/A</v>
      </c>
      <c r="Z215" s="126" t="e">
        <f>"JBG-OP1-CENTRAL-"&amp;VLOOKUP(OB_Act[[#This Row],[Pit]],$AK$2:$AL$9,2,0)&amp;"-WASTE-"&amp;OB_Act[[#This Row],[Material]]</f>
        <v>#N/A</v>
      </c>
      <c r="AA215" s="126" t="e">
        <f>"JBG-DUMP1-"&amp;VLOOKUP(OB_Act[[#This Row],[Dump]],$AF$2:$AG$55,2,0)&amp;"-"&amp;OB_Act[[#This Row],[Material]]</f>
        <v>#N/A</v>
      </c>
      <c r="AB215" s="126" t="str">
        <f>"JBG-"&amp;OB_Act[[#This Row],[Material]]</f>
        <v>JBG-</v>
      </c>
    </row>
    <row r="216" spans="13:28">
      <c r="M216" s="105">
        <f>OB_Act[[#This Row],[Volume (BCM)]]*OB_Act[[#This Row],[Distance (Meter)]]</f>
        <v>0</v>
      </c>
      <c r="N216" s="105" t="str">
        <f>LEFT(OB_Act[[#This Row],[Dump Truck]],3)</f>
        <v/>
      </c>
      <c r="O216" s="126" t="str">
        <f>OB_Act[[#This Row],[Day]]&amp;OB_Act[[#This Row],[Excavator]]&amp;OB_Act[[#This Row],[Contractor]]&amp;OB_Act[[#This Row],[Pit]]&amp;OB_Act[[#This Row],[Shift]]</f>
        <v/>
      </c>
      <c r="P216" s="126">
        <f>1/COUNTIF(OB_Act[Dummy_Exc],OB_Act[[#This Row],[Dummy_Exc]])</f>
        <v>4.1841004184100415E-3</v>
      </c>
      <c r="Q216" s="105" t="str">
        <f>OB_Act[[#This Row],[Day]]&amp;OB_Act[[#This Row],[Dump Truck]]&amp;OB_Act[[#This Row],[Pit]]&amp;OB_Act[[#This Row],[Shift]]</f>
        <v/>
      </c>
      <c r="R216" s="126">
        <f>1/COUNTIF(OB_Act[Dummy_DT],OB_Act[[#This Row],[Dummy_DT]])</f>
        <v>4.1841004184100415E-3</v>
      </c>
      <c r="S216" s="126">
        <f>OB_Act[[#This Row],[Distance (Meter)]]*OB_Act[[#This Row],[Volume (BCM)]]</f>
        <v>0</v>
      </c>
      <c r="T216" s="105" t="str">
        <f>OB_Act[[#This Row],[Day]]&amp;OB_Act[[#This Row],[Dump Truck]]&amp;OB_Act[[#This Row],[Contractor]]&amp;OB_Act[[#This Row],[Excavator]]&amp;OB_Act[[#This Row],[Shift]]</f>
        <v/>
      </c>
      <c r="U216" s="126">
        <f>1/COUNTIF(OB_Act[Dummy_DT/Exc],OB_Act[[#This Row],[Dummy_DT/Exc]])</f>
        <v>4.1841004184100415E-3</v>
      </c>
      <c r="V216" s="126" t="e">
        <f>VLOOKUP(OB_Act[[#This Row],[Day]],$AO$2:$AR$32,4,0)</f>
        <v>#N/A</v>
      </c>
      <c r="W216" s="126" t="e">
        <f>VLOOKUP(OB_Act[[#This Row],[Dump Area]],$AE$2:$AF$51,2,0)</f>
        <v>#N/A</v>
      </c>
      <c r="X216" s="126" t="str">
        <f>OB_Act[[#This Row],[Excavator]]&amp;OB_Act[[#This Row],[Contractor]]</f>
        <v/>
      </c>
      <c r="Y216" s="126" t="e">
        <f>IF(OB_Act[[#This Row],[Material]]="MUD",VLOOKUP(OB_Act[[#This Row],[Dump Truck]],Type_mud[[Nama DT]:[Type]],2,0),VLOOKUP(OB_Act[[#This Row],[Dump Truck]],Type_DT_OB[[Nama DT]:[Type]],4,0))</f>
        <v>#N/A</v>
      </c>
      <c r="Z216" s="126" t="e">
        <f>"JBG-OP1-CENTRAL-"&amp;VLOOKUP(OB_Act[[#This Row],[Pit]],$AK$2:$AL$9,2,0)&amp;"-WASTE-"&amp;OB_Act[[#This Row],[Material]]</f>
        <v>#N/A</v>
      </c>
      <c r="AA216" s="126" t="e">
        <f>"JBG-DUMP1-"&amp;VLOOKUP(OB_Act[[#This Row],[Dump]],$AF$2:$AG$55,2,0)&amp;"-"&amp;OB_Act[[#This Row],[Material]]</f>
        <v>#N/A</v>
      </c>
      <c r="AB216" s="126" t="str">
        <f>"JBG-"&amp;OB_Act[[#This Row],[Material]]</f>
        <v>JBG-</v>
      </c>
    </row>
    <row r="217" spans="13:28">
      <c r="M217" s="105">
        <f>OB_Act[[#This Row],[Volume (BCM)]]*OB_Act[[#This Row],[Distance (Meter)]]</f>
        <v>0</v>
      </c>
      <c r="N217" s="105" t="str">
        <f>LEFT(OB_Act[[#This Row],[Dump Truck]],3)</f>
        <v/>
      </c>
      <c r="O217" s="126" t="str">
        <f>OB_Act[[#This Row],[Day]]&amp;OB_Act[[#This Row],[Excavator]]&amp;OB_Act[[#This Row],[Contractor]]&amp;OB_Act[[#This Row],[Pit]]&amp;OB_Act[[#This Row],[Shift]]</f>
        <v/>
      </c>
      <c r="P217" s="126">
        <f>1/COUNTIF(OB_Act[Dummy_Exc],OB_Act[[#This Row],[Dummy_Exc]])</f>
        <v>4.1841004184100415E-3</v>
      </c>
      <c r="Q217" s="105" t="str">
        <f>OB_Act[[#This Row],[Day]]&amp;OB_Act[[#This Row],[Dump Truck]]&amp;OB_Act[[#This Row],[Pit]]&amp;OB_Act[[#This Row],[Shift]]</f>
        <v/>
      </c>
      <c r="R217" s="126">
        <f>1/COUNTIF(OB_Act[Dummy_DT],OB_Act[[#This Row],[Dummy_DT]])</f>
        <v>4.1841004184100415E-3</v>
      </c>
      <c r="S217" s="126">
        <f>OB_Act[[#This Row],[Distance (Meter)]]*OB_Act[[#This Row],[Volume (BCM)]]</f>
        <v>0</v>
      </c>
      <c r="T217" s="105" t="str">
        <f>OB_Act[[#This Row],[Day]]&amp;OB_Act[[#This Row],[Dump Truck]]&amp;OB_Act[[#This Row],[Contractor]]&amp;OB_Act[[#This Row],[Excavator]]&amp;OB_Act[[#This Row],[Shift]]</f>
        <v/>
      </c>
      <c r="U217" s="126">
        <f>1/COUNTIF(OB_Act[Dummy_DT/Exc],OB_Act[[#This Row],[Dummy_DT/Exc]])</f>
        <v>4.1841004184100415E-3</v>
      </c>
      <c r="V217" s="126" t="e">
        <f>VLOOKUP(OB_Act[[#This Row],[Day]],$AO$2:$AR$32,4,0)</f>
        <v>#N/A</v>
      </c>
      <c r="W217" s="126" t="e">
        <f>VLOOKUP(OB_Act[[#This Row],[Dump Area]],$AE$2:$AF$51,2,0)</f>
        <v>#N/A</v>
      </c>
      <c r="X217" s="126" t="str">
        <f>OB_Act[[#This Row],[Excavator]]&amp;OB_Act[[#This Row],[Contractor]]</f>
        <v/>
      </c>
      <c r="Y217" s="126" t="e">
        <f>IF(OB_Act[[#This Row],[Material]]="MUD",VLOOKUP(OB_Act[[#This Row],[Dump Truck]],Type_mud[[Nama DT]:[Type]],2,0),VLOOKUP(OB_Act[[#This Row],[Dump Truck]],Type_DT_OB[[Nama DT]:[Type]],4,0))</f>
        <v>#N/A</v>
      </c>
      <c r="Z217" s="126" t="e">
        <f>"JBG-OP1-CENTRAL-"&amp;VLOOKUP(OB_Act[[#This Row],[Pit]],$AK$2:$AL$9,2,0)&amp;"-WASTE-"&amp;OB_Act[[#This Row],[Material]]</f>
        <v>#N/A</v>
      </c>
      <c r="AA217" s="126" t="e">
        <f>"JBG-DUMP1-"&amp;VLOOKUP(OB_Act[[#This Row],[Dump]],$AF$2:$AG$55,2,0)&amp;"-"&amp;OB_Act[[#This Row],[Material]]</f>
        <v>#N/A</v>
      </c>
      <c r="AB217" s="126" t="str">
        <f>"JBG-"&amp;OB_Act[[#This Row],[Material]]</f>
        <v>JBG-</v>
      </c>
    </row>
    <row r="218" spans="13:28">
      <c r="M218" s="105">
        <f>OB_Act[[#This Row],[Volume (BCM)]]*OB_Act[[#This Row],[Distance (Meter)]]</f>
        <v>0</v>
      </c>
      <c r="N218" s="105" t="str">
        <f>LEFT(OB_Act[[#This Row],[Dump Truck]],3)</f>
        <v/>
      </c>
      <c r="O218" s="126" t="str">
        <f>OB_Act[[#This Row],[Day]]&amp;OB_Act[[#This Row],[Excavator]]&amp;OB_Act[[#This Row],[Contractor]]&amp;OB_Act[[#This Row],[Pit]]&amp;OB_Act[[#This Row],[Shift]]</f>
        <v/>
      </c>
      <c r="P218" s="126">
        <f>1/COUNTIF(OB_Act[Dummy_Exc],OB_Act[[#This Row],[Dummy_Exc]])</f>
        <v>4.1841004184100415E-3</v>
      </c>
      <c r="Q218" s="105" t="str">
        <f>OB_Act[[#This Row],[Day]]&amp;OB_Act[[#This Row],[Dump Truck]]&amp;OB_Act[[#This Row],[Pit]]&amp;OB_Act[[#This Row],[Shift]]</f>
        <v/>
      </c>
      <c r="R218" s="126">
        <f>1/COUNTIF(OB_Act[Dummy_DT],OB_Act[[#This Row],[Dummy_DT]])</f>
        <v>4.1841004184100415E-3</v>
      </c>
      <c r="S218" s="126">
        <f>OB_Act[[#This Row],[Distance (Meter)]]*OB_Act[[#This Row],[Volume (BCM)]]</f>
        <v>0</v>
      </c>
      <c r="T218" s="105" t="str">
        <f>OB_Act[[#This Row],[Day]]&amp;OB_Act[[#This Row],[Dump Truck]]&amp;OB_Act[[#This Row],[Contractor]]&amp;OB_Act[[#This Row],[Excavator]]&amp;OB_Act[[#This Row],[Shift]]</f>
        <v/>
      </c>
      <c r="U218" s="126">
        <f>1/COUNTIF(OB_Act[Dummy_DT/Exc],OB_Act[[#This Row],[Dummy_DT/Exc]])</f>
        <v>4.1841004184100415E-3</v>
      </c>
      <c r="V218" s="126" t="e">
        <f>VLOOKUP(OB_Act[[#This Row],[Day]],$AO$2:$AR$32,4,0)</f>
        <v>#N/A</v>
      </c>
      <c r="W218" s="126" t="e">
        <f>VLOOKUP(OB_Act[[#This Row],[Dump Area]],$AE$2:$AF$51,2,0)</f>
        <v>#N/A</v>
      </c>
      <c r="X218" s="126" t="str">
        <f>OB_Act[[#This Row],[Excavator]]&amp;OB_Act[[#This Row],[Contractor]]</f>
        <v/>
      </c>
      <c r="Y218" s="126" t="e">
        <f>IF(OB_Act[[#This Row],[Material]]="MUD",VLOOKUP(OB_Act[[#This Row],[Dump Truck]],Type_mud[[Nama DT]:[Type]],2,0),VLOOKUP(OB_Act[[#This Row],[Dump Truck]],Type_DT_OB[[Nama DT]:[Type]],4,0))</f>
        <v>#N/A</v>
      </c>
      <c r="Z218" s="126" t="e">
        <f>"JBG-OP1-CENTRAL-"&amp;VLOOKUP(OB_Act[[#This Row],[Pit]],$AK$2:$AL$9,2,0)&amp;"-WASTE-"&amp;OB_Act[[#This Row],[Material]]</f>
        <v>#N/A</v>
      </c>
      <c r="AA218" s="126" t="e">
        <f>"JBG-DUMP1-"&amp;VLOOKUP(OB_Act[[#This Row],[Dump]],$AF$2:$AG$55,2,0)&amp;"-"&amp;OB_Act[[#This Row],[Material]]</f>
        <v>#N/A</v>
      </c>
      <c r="AB218" s="126" t="str">
        <f>"JBG-"&amp;OB_Act[[#This Row],[Material]]</f>
        <v>JBG-</v>
      </c>
    </row>
    <row r="219" spans="13:28">
      <c r="M219" s="105">
        <f>OB_Act[[#This Row],[Volume (BCM)]]*OB_Act[[#This Row],[Distance (Meter)]]</f>
        <v>0</v>
      </c>
      <c r="N219" s="105" t="str">
        <f>LEFT(OB_Act[[#This Row],[Dump Truck]],3)</f>
        <v/>
      </c>
      <c r="O219" s="126" t="str">
        <f>OB_Act[[#This Row],[Day]]&amp;OB_Act[[#This Row],[Excavator]]&amp;OB_Act[[#This Row],[Contractor]]&amp;OB_Act[[#This Row],[Pit]]&amp;OB_Act[[#This Row],[Shift]]</f>
        <v/>
      </c>
      <c r="P219" s="126">
        <f>1/COUNTIF(OB_Act[Dummy_Exc],OB_Act[[#This Row],[Dummy_Exc]])</f>
        <v>4.1841004184100415E-3</v>
      </c>
      <c r="Q219" s="105" t="str">
        <f>OB_Act[[#This Row],[Day]]&amp;OB_Act[[#This Row],[Dump Truck]]&amp;OB_Act[[#This Row],[Pit]]&amp;OB_Act[[#This Row],[Shift]]</f>
        <v/>
      </c>
      <c r="R219" s="126">
        <f>1/COUNTIF(OB_Act[Dummy_DT],OB_Act[[#This Row],[Dummy_DT]])</f>
        <v>4.1841004184100415E-3</v>
      </c>
      <c r="S219" s="126">
        <f>OB_Act[[#This Row],[Distance (Meter)]]*OB_Act[[#This Row],[Volume (BCM)]]</f>
        <v>0</v>
      </c>
      <c r="T219" s="105" t="str">
        <f>OB_Act[[#This Row],[Day]]&amp;OB_Act[[#This Row],[Dump Truck]]&amp;OB_Act[[#This Row],[Contractor]]&amp;OB_Act[[#This Row],[Excavator]]&amp;OB_Act[[#This Row],[Shift]]</f>
        <v/>
      </c>
      <c r="U219" s="126">
        <f>1/COUNTIF(OB_Act[Dummy_DT/Exc],OB_Act[[#This Row],[Dummy_DT/Exc]])</f>
        <v>4.1841004184100415E-3</v>
      </c>
      <c r="V219" s="126" t="e">
        <f>VLOOKUP(OB_Act[[#This Row],[Day]],$AO$2:$AR$32,4,0)</f>
        <v>#N/A</v>
      </c>
      <c r="W219" s="126" t="e">
        <f>VLOOKUP(OB_Act[[#This Row],[Dump Area]],$AE$2:$AF$51,2,0)</f>
        <v>#N/A</v>
      </c>
      <c r="X219" s="126" t="str">
        <f>OB_Act[[#This Row],[Excavator]]&amp;OB_Act[[#This Row],[Contractor]]</f>
        <v/>
      </c>
      <c r="Y219" s="126" t="e">
        <f>IF(OB_Act[[#This Row],[Material]]="MUD",VLOOKUP(OB_Act[[#This Row],[Dump Truck]],Type_mud[[Nama DT]:[Type]],2,0),VLOOKUP(OB_Act[[#This Row],[Dump Truck]],Type_DT_OB[[Nama DT]:[Type]],4,0))</f>
        <v>#N/A</v>
      </c>
      <c r="Z219" s="126" t="e">
        <f>"JBG-OP1-CENTRAL-"&amp;VLOOKUP(OB_Act[[#This Row],[Pit]],$AK$2:$AL$9,2,0)&amp;"-WASTE-"&amp;OB_Act[[#This Row],[Material]]</f>
        <v>#N/A</v>
      </c>
      <c r="AA219" s="126" t="e">
        <f>"JBG-DUMP1-"&amp;VLOOKUP(OB_Act[[#This Row],[Dump]],$AF$2:$AG$55,2,0)&amp;"-"&amp;OB_Act[[#This Row],[Material]]</f>
        <v>#N/A</v>
      </c>
      <c r="AB219" s="126" t="str">
        <f>"JBG-"&amp;OB_Act[[#This Row],[Material]]</f>
        <v>JBG-</v>
      </c>
    </row>
    <row r="220" spans="13:28">
      <c r="M220" s="105">
        <f>OB_Act[[#This Row],[Volume (BCM)]]*OB_Act[[#This Row],[Distance (Meter)]]</f>
        <v>0</v>
      </c>
      <c r="N220" s="105" t="str">
        <f>LEFT(OB_Act[[#This Row],[Dump Truck]],3)</f>
        <v/>
      </c>
      <c r="O220" s="126" t="str">
        <f>OB_Act[[#This Row],[Day]]&amp;OB_Act[[#This Row],[Excavator]]&amp;OB_Act[[#This Row],[Contractor]]&amp;OB_Act[[#This Row],[Pit]]&amp;OB_Act[[#This Row],[Shift]]</f>
        <v/>
      </c>
      <c r="P220" s="126">
        <f>1/COUNTIF(OB_Act[Dummy_Exc],OB_Act[[#This Row],[Dummy_Exc]])</f>
        <v>4.1841004184100415E-3</v>
      </c>
      <c r="Q220" s="105" t="str">
        <f>OB_Act[[#This Row],[Day]]&amp;OB_Act[[#This Row],[Dump Truck]]&amp;OB_Act[[#This Row],[Pit]]&amp;OB_Act[[#This Row],[Shift]]</f>
        <v/>
      </c>
      <c r="R220" s="126">
        <f>1/COUNTIF(OB_Act[Dummy_DT],OB_Act[[#This Row],[Dummy_DT]])</f>
        <v>4.1841004184100415E-3</v>
      </c>
      <c r="S220" s="126">
        <f>OB_Act[[#This Row],[Distance (Meter)]]*OB_Act[[#This Row],[Volume (BCM)]]</f>
        <v>0</v>
      </c>
      <c r="T220" s="105" t="str">
        <f>OB_Act[[#This Row],[Day]]&amp;OB_Act[[#This Row],[Dump Truck]]&amp;OB_Act[[#This Row],[Contractor]]&amp;OB_Act[[#This Row],[Excavator]]&amp;OB_Act[[#This Row],[Shift]]</f>
        <v/>
      </c>
      <c r="U220" s="126">
        <f>1/COUNTIF(OB_Act[Dummy_DT/Exc],OB_Act[[#This Row],[Dummy_DT/Exc]])</f>
        <v>4.1841004184100415E-3</v>
      </c>
      <c r="V220" s="126" t="e">
        <f>VLOOKUP(OB_Act[[#This Row],[Day]],$AO$2:$AR$32,4,0)</f>
        <v>#N/A</v>
      </c>
      <c r="W220" s="126" t="e">
        <f>VLOOKUP(OB_Act[[#This Row],[Dump Area]],$AE$2:$AF$51,2,0)</f>
        <v>#N/A</v>
      </c>
      <c r="X220" s="126" t="str">
        <f>OB_Act[[#This Row],[Excavator]]&amp;OB_Act[[#This Row],[Contractor]]</f>
        <v/>
      </c>
      <c r="Y220" s="126" t="e">
        <f>IF(OB_Act[[#This Row],[Material]]="MUD",VLOOKUP(OB_Act[[#This Row],[Dump Truck]],Type_mud[[Nama DT]:[Type]],2,0),VLOOKUP(OB_Act[[#This Row],[Dump Truck]],Type_DT_OB[[Nama DT]:[Type]],4,0))</f>
        <v>#N/A</v>
      </c>
      <c r="Z220" s="126" t="e">
        <f>"JBG-OP1-CENTRAL-"&amp;VLOOKUP(OB_Act[[#This Row],[Pit]],$AK$2:$AL$9,2,0)&amp;"-WASTE-"&amp;OB_Act[[#This Row],[Material]]</f>
        <v>#N/A</v>
      </c>
      <c r="AA220" s="126" t="e">
        <f>"JBG-DUMP1-"&amp;VLOOKUP(OB_Act[[#This Row],[Dump]],$AF$2:$AG$55,2,0)&amp;"-"&amp;OB_Act[[#This Row],[Material]]</f>
        <v>#N/A</v>
      </c>
      <c r="AB220" s="126" t="str">
        <f>"JBG-"&amp;OB_Act[[#This Row],[Material]]</f>
        <v>JBG-</v>
      </c>
    </row>
    <row r="221" spans="13:28">
      <c r="M221" s="105">
        <f>OB_Act[[#This Row],[Volume (BCM)]]*OB_Act[[#This Row],[Distance (Meter)]]</f>
        <v>0</v>
      </c>
      <c r="N221" s="105" t="str">
        <f>LEFT(OB_Act[[#This Row],[Dump Truck]],3)</f>
        <v/>
      </c>
      <c r="O221" s="126" t="str">
        <f>OB_Act[[#This Row],[Day]]&amp;OB_Act[[#This Row],[Excavator]]&amp;OB_Act[[#This Row],[Contractor]]&amp;OB_Act[[#This Row],[Pit]]&amp;OB_Act[[#This Row],[Shift]]</f>
        <v/>
      </c>
      <c r="P221" s="126">
        <f>1/COUNTIF(OB_Act[Dummy_Exc],OB_Act[[#This Row],[Dummy_Exc]])</f>
        <v>4.1841004184100415E-3</v>
      </c>
      <c r="Q221" s="105" t="str">
        <f>OB_Act[[#This Row],[Day]]&amp;OB_Act[[#This Row],[Dump Truck]]&amp;OB_Act[[#This Row],[Pit]]&amp;OB_Act[[#This Row],[Shift]]</f>
        <v/>
      </c>
      <c r="R221" s="126">
        <f>1/COUNTIF(OB_Act[Dummy_DT],OB_Act[[#This Row],[Dummy_DT]])</f>
        <v>4.1841004184100415E-3</v>
      </c>
      <c r="S221" s="126">
        <f>OB_Act[[#This Row],[Distance (Meter)]]*OB_Act[[#This Row],[Volume (BCM)]]</f>
        <v>0</v>
      </c>
      <c r="T221" s="105" t="str">
        <f>OB_Act[[#This Row],[Day]]&amp;OB_Act[[#This Row],[Dump Truck]]&amp;OB_Act[[#This Row],[Contractor]]&amp;OB_Act[[#This Row],[Excavator]]&amp;OB_Act[[#This Row],[Shift]]</f>
        <v/>
      </c>
      <c r="U221" s="126">
        <f>1/COUNTIF(OB_Act[Dummy_DT/Exc],OB_Act[[#This Row],[Dummy_DT/Exc]])</f>
        <v>4.1841004184100415E-3</v>
      </c>
      <c r="V221" s="126" t="e">
        <f>VLOOKUP(OB_Act[[#This Row],[Day]],$AO$2:$AR$32,4,0)</f>
        <v>#N/A</v>
      </c>
      <c r="W221" s="126" t="e">
        <f>VLOOKUP(OB_Act[[#This Row],[Dump Area]],$AE$2:$AF$51,2,0)</f>
        <v>#N/A</v>
      </c>
      <c r="X221" s="126" t="str">
        <f>OB_Act[[#This Row],[Excavator]]&amp;OB_Act[[#This Row],[Contractor]]</f>
        <v/>
      </c>
      <c r="Y221" s="126" t="e">
        <f>IF(OB_Act[[#This Row],[Material]]="MUD",VLOOKUP(OB_Act[[#This Row],[Dump Truck]],Type_mud[[Nama DT]:[Type]],2,0),VLOOKUP(OB_Act[[#This Row],[Dump Truck]],Type_DT_OB[[Nama DT]:[Type]],4,0))</f>
        <v>#N/A</v>
      </c>
      <c r="Z221" s="126" t="e">
        <f>"JBG-OP1-CENTRAL-"&amp;VLOOKUP(OB_Act[[#This Row],[Pit]],$AK$2:$AL$9,2,0)&amp;"-WASTE-"&amp;OB_Act[[#This Row],[Material]]</f>
        <v>#N/A</v>
      </c>
      <c r="AA221" s="126" t="e">
        <f>"JBG-DUMP1-"&amp;VLOOKUP(OB_Act[[#This Row],[Dump]],$AF$2:$AG$55,2,0)&amp;"-"&amp;OB_Act[[#This Row],[Material]]</f>
        <v>#N/A</v>
      </c>
      <c r="AB221" s="126" t="str">
        <f>"JBG-"&amp;OB_Act[[#This Row],[Material]]</f>
        <v>JBG-</v>
      </c>
    </row>
    <row r="222" spans="13:28">
      <c r="M222" s="105">
        <f>OB_Act[[#This Row],[Volume (BCM)]]*OB_Act[[#This Row],[Distance (Meter)]]</f>
        <v>0</v>
      </c>
      <c r="N222" s="105" t="str">
        <f>LEFT(OB_Act[[#This Row],[Dump Truck]],3)</f>
        <v/>
      </c>
      <c r="O222" s="126" t="str">
        <f>OB_Act[[#This Row],[Day]]&amp;OB_Act[[#This Row],[Excavator]]&amp;OB_Act[[#This Row],[Contractor]]&amp;OB_Act[[#This Row],[Pit]]&amp;OB_Act[[#This Row],[Shift]]</f>
        <v/>
      </c>
      <c r="P222" s="126">
        <f>1/COUNTIF(OB_Act[Dummy_Exc],OB_Act[[#This Row],[Dummy_Exc]])</f>
        <v>4.1841004184100415E-3</v>
      </c>
      <c r="Q222" s="105" t="str">
        <f>OB_Act[[#This Row],[Day]]&amp;OB_Act[[#This Row],[Dump Truck]]&amp;OB_Act[[#This Row],[Pit]]&amp;OB_Act[[#This Row],[Shift]]</f>
        <v/>
      </c>
      <c r="R222" s="126">
        <f>1/COUNTIF(OB_Act[Dummy_DT],OB_Act[[#This Row],[Dummy_DT]])</f>
        <v>4.1841004184100415E-3</v>
      </c>
      <c r="S222" s="126">
        <f>OB_Act[[#This Row],[Distance (Meter)]]*OB_Act[[#This Row],[Volume (BCM)]]</f>
        <v>0</v>
      </c>
      <c r="T222" s="105" t="str">
        <f>OB_Act[[#This Row],[Day]]&amp;OB_Act[[#This Row],[Dump Truck]]&amp;OB_Act[[#This Row],[Contractor]]&amp;OB_Act[[#This Row],[Excavator]]&amp;OB_Act[[#This Row],[Shift]]</f>
        <v/>
      </c>
      <c r="U222" s="126">
        <f>1/COUNTIF(OB_Act[Dummy_DT/Exc],OB_Act[[#This Row],[Dummy_DT/Exc]])</f>
        <v>4.1841004184100415E-3</v>
      </c>
      <c r="V222" s="126" t="e">
        <f>VLOOKUP(OB_Act[[#This Row],[Day]],$AO$2:$AR$32,4,0)</f>
        <v>#N/A</v>
      </c>
      <c r="W222" s="126" t="e">
        <f>VLOOKUP(OB_Act[[#This Row],[Dump Area]],$AE$2:$AF$51,2,0)</f>
        <v>#N/A</v>
      </c>
      <c r="X222" s="126" t="str">
        <f>OB_Act[[#This Row],[Excavator]]&amp;OB_Act[[#This Row],[Contractor]]</f>
        <v/>
      </c>
      <c r="Y222" s="126" t="e">
        <f>IF(OB_Act[[#This Row],[Material]]="MUD",VLOOKUP(OB_Act[[#This Row],[Dump Truck]],Type_mud[[Nama DT]:[Type]],2,0),VLOOKUP(OB_Act[[#This Row],[Dump Truck]],Type_DT_OB[[Nama DT]:[Type]],4,0))</f>
        <v>#N/A</v>
      </c>
      <c r="Z222" s="126" t="e">
        <f>"JBG-OP1-CENTRAL-"&amp;VLOOKUP(OB_Act[[#This Row],[Pit]],$AK$2:$AL$9,2,0)&amp;"-WASTE-"&amp;OB_Act[[#This Row],[Material]]</f>
        <v>#N/A</v>
      </c>
      <c r="AA222" s="126" t="e">
        <f>"JBG-DUMP1-"&amp;VLOOKUP(OB_Act[[#This Row],[Dump]],$AF$2:$AG$55,2,0)&amp;"-"&amp;OB_Act[[#This Row],[Material]]</f>
        <v>#N/A</v>
      </c>
      <c r="AB222" s="126" t="str">
        <f>"JBG-"&amp;OB_Act[[#This Row],[Material]]</f>
        <v>JBG-</v>
      </c>
    </row>
    <row r="223" spans="13:28">
      <c r="M223" s="105">
        <f>OB_Act[[#This Row],[Volume (BCM)]]*OB_Act[[#This Row],[Distance (Meter)]]</f>
        <v>0</v>
      </c>
      <c r="N223" s="105" t="str">
        <f>LEFT(OB_Act[[#This Row],[Dump Truck]],3)</f>
        <v/>
      </c>
      <c r="O223" s="126" t="str">
        <f>OB_Act[[#This Row],[Day]]&amp;OB_Act[[#This Row],[Excavator]]&amp;OB_Act[[#This Row],[Contractor]]&amp;OB_Act[[#This Row],[Pit]]&amp;OB_Act[[#This Row],[Shift]]</f>
        <v/>
      </c>
      <c r="P223" s="126">
        <f>1/COUNTIF(OB_Act[Dummy_Exc],OB_Act[[#This Row],[Dummy_Exc]])</f>
        <v>4.1841004184100415E-3</v>
      </c>
      <c r="Q223" s="105" t="str">
        <f>OB_Act[[#This Row],[Day]]&amp;OB_Act[[#This Row],[Dump Truck]]&amp;OB_Act[[#This Row],[Pit]]&amp;OB_Act[[#This Row],[Shift]]</f>
        <v/>
      </c>
      <c r="R223" s="126">
        <f>1/COUNTIF(OB_Act[Dummy_DT],OB_Act[[#This Row],[Dummy_DT]])</f>
        <v>4.1841004184100415E-3</v>
      </c>
      <c r="S223" s="126">
        <f>OB_Act[[#This Row],[Distance (Meter)]]*OB_Act[[#This Row],[Volume (BCM)]]</f>
        <v>0</v>
      </c>
      <c r="T223" s="105" t="str">
        <f>OB_Act[[#This Row],[Day]]&amp;OB_Act[[#This Row],[Dump Truck]]&amp;OB_Act[[#This Row],[Contractor]]&amp;OB_Act[[#This Row],[Excavator]]&amp;OB_Act[[#This Row],[Shift]]</f>
        <v/>
      </c>
      <c r="U223" s="126">
        <f>1/COUNTIF(OB_Act[Dummy_DT/Exc],OB_Act[[#This Row],[Dummy_DT/Exc]])</f>
        <v>4.1841004184100415E-3</v>
      </c>
      <c r="V223" s="126" t="e">
        <f>VLOOKUP(OB_Act[[#This Row],[Day]],$AO$2:$AR$32,4,0)</f>
        <v>#N/A</v>
      </c>
      <c r="W223" s="126" t="e">
        <f>VLOOKUP(OB_Act[[#This Row],[Dump Area]],$AE$2:$AF$51,2,0)</f>
        <v>#N/A</v>
      </c>
      <c r="X223" s="126" t="str">
        <f>OB_Act[[#This Row],[Excavator]]&amp;OB_Act[[#This Row],[Contractor]]</f>
        <v/>
      </c>
      <c r="Y223" s="126" t="e">
        <f>IF(OB_Act[[#This Row],[Material]]="MUD",VLOOKUP(OB_Act[[#This Row],[Dump Truck]],Type_mud[[Nama DT]:[Type]],2,0),VLOOKUP(OB_Act[[#This Row],[Dump Truck]],Type_DT_OB[[Nama DT]:[Type]],4,0))</f>
        <v>#N/A</v>
      </c>
      <c r="Z223" s="126" t="e">
        <f>"JBG-OP1-CENTRAL-"&amp;VLOOKUP(OB_Act[[#This Row],[Pit]],$AK$2:$AL$9,2,0)&amp;"-WASTE-"&amp;OB_Act[[#This Row],[Material]]</f>
        <v>#N/A</v>
      </c>
      <c r="AA223" s="126" t="e">
        <f>"JBG-DUMP1-"&amp;VLOOKUP(OB_Act[[#This Row],[Dump]],$AF$2:$AG$55,2,0)&amp;"-"&amp;OB_Act[[#This Row],[Material]]</f>
        <v>#N/A</v>
      </c>
      <c r="AB223" s="126" t="str">
        <f>"JBG-"&amp;OB_Act[[#This Row],[Material]]</f>
        <v>JBG-</v>
      </c>
    </row>
    <row r="224" spans="13:28">
      <c r="M224" s="105">
        <f>OB_Act[[#This Row],[Volume (BCM)]]*OB_Act[[#This Row],[Distance (Meter)]]</f>
        <v>0</v>
      </c>
      <c r="N224" s="105" t="str">
        <f>LEFT(OB_Act[[#This Row],[Dump Truck]],3)</f>
        <v/>
      </c>
      <c r="O224" s="126" t="str">
        <f>OB_Act[[#This Row],[Day]]&amp;OB_Act[[#This Row],[Excavator]]&amp;OB_Act[[#This Row],[Contractor]]&amp;OB_Act[[#This Row],[Pit]]&amp;OB_Act[[#This Row],[Shift]]</f>
        <v/>
      </c>
      <c r="P224" s="126">
        <f>1/COUNTIF(OB_Act[Dummy_Exc],OB_Act[[#This Row],[Dummy_Exc]])</f>
        <v>4.1841004184100415E-3</v>
      </c>
      <c r="Q224" s="105" t="str">
        <f>OB_Act[[#This Row],[Day]]&amp;OB_Act[[#This Row],[Dump Truck]]&amp;OB_Act[[#This Row],[Pit]]&amp;OB_Act[[#This Row],[Shift]]</f>
        <v/>
      </c>
      <c r="R224" s="126">
        <f>1/COUNTIF(OB_Act[Dummy_DT],OB_Act[[#This Row],[Dummy_DT]])</f>
        <v>4.1841004184100415E-3</v>
      </c>
      <c r="S224" s="126">
        <f>OB_Act[[#This Row],[Distance (Meter)]]*OB_Act[[#This Row],[Volume (BCM)]]</f>
        <v>0</v>
      </c>
      <c r="T224" s="105" t="str">
        <f>OB_Act[[#This Row],[Day]]&amp;OB_Act[[#This Row],[Dump Truck]]&amp;OB_Act[[#This Row],[Contractor]]&amp;OB_Act[[#This Row],[Excavator]]&amp;OB_Act[[#This Row],[Shift]]</f>
        <v/>
      </c>
      <c r="U224" s="126">
        <f>1/COUNTIF(OB_Act[Dummy_DT/Exc],OB_Act[[#This Row],[Dummy_DT/Exc]])</f>
        <v>4.1841004184100415E-3</v>
      </c>
      <c r="V224" s="126" t="e">
        <f>VLOOKUP(OB_Act[[#This Row],[Day]],$AO$2:$AR$32,4,0)</f>
        <v>#N/A</v>
      </c>
      <c r="W224" s="126" t="e">
        <f>VLOOKUP(OB_Act[[#This Row],[Dump Area]],$AE$2:$AF$51,2,0)</f>
        <v>#N/A</v>
      </c>
      <c r="X224" s="126" t="str">
        <f>OB_Act[[#This Row],[Excavator]]&amp;OB_Act[[#This Row],[Contractor]]</f>
        <v/>
      </c>
      <c r="Y224" s="126" t="e">
        <f>IF(OB_Act[[#This Row],[Material]]="MUD",VLOOKUP(OB_Act[[#This Row],[Dump Truck]],Type_mud[[Nama DT]:[Type]],2,0),VLOOKUP(OB_Act[[#This Row],[Dump Truck]],Type_DT_OB[[Nama DT]:[Type]],4,0))</f>
        <v>#N/A</v>
      </c>
      <c r="Z224" s="126" t="e">
        <f>"JBG-OP1-CENTRAL-"&amp;VLOOKUP(OB_Act[[#This Row],[Pit]],$AK$2:$AL$9,2,0)&amp;"-WASTE-"&amp;OB_Act[[#This Row],[Material]]</f>
        <v>#N/A</v>
      </c>
      <c r="AA224" s="126" t="e">
        <f>"JBG-DUMP1-"&amp;VLOOKUP(OB_Act[[#This Row],[Dump]],$AF$2:$AG$55,2,0)&amp;"-"&amp;OB_Act[[#This Row],[Material]]</f>
        <v>#N/A</v>
      </c>
      <c r="AB224" s="126" t="str">
        <f>"JBG-"&amp;OB_Act[[#This Row],[Material]]</f>
        <v>JBG-</v>
      </c>
    </row>
    <row r="225" spans="13:28">
      <c r="M225" s="105">
        <f>OB_Act[[#This Row],[Volume (BCM)]]*OB_Act[[#This Row],[Distance (Meter)]]</f>
        <v>0</v>
      </c>
      <c r="N225" s="105" t="str">
        <f>LEFT(OB_Act[[#This Row],[Dump Truck]],3)</f>
        <v/>
      </c>
      <c r="O225" s="126" t="str">
        <f>OB_Act[[#This Row],[Day]]&amp;OB_Act[[#This Row],[Excavator]]&amp;OB_Act[[#This Row],[Contractor]]&amp;OB_Act[[#This Row],[Pit]]&amp;OB_Act[[#This Row],[Shift]]</f>
        <v/>
      </c>
      <c r="P225" s="126">
        <f>1/COUNTIF(OB_Act[Dummy_Exc],OB_Act[[#This Row],[Dummy_Exc]])</f>
        <v>4.1841004184100415E-3</v>
      </c>
      <c r="Q225" s="105" t="str">
        <f>OB_Act[[#This Row],[Day]]&amp;OB_Act[[#This Row],[Dump Truck]]&amp;OB_Act[[#This Row],[Pit]]&amp;OB_Act[[#This Row],[Shift]]</f>
        <v/>
      </c>
      <c r="R225" s="126">
        <f>1/COUNTIF(OB_Act[Dummy_DT],OB_Act[[#This Row],[Dummy_DT]])</f>
        <v>4.1841004184100415E-3</v>
      </c>
      <c r="S225" s="126">
        <f>OB_Act[[#This Row],[Distance (Meter)]]*OB_Act[[#This Row],[Volume (BCM)]]</f>
        <v>0</v>
      </c>
      <c r="T225" s="105" t="str">
        <f>OB_Act[[#This Row],[Day]]&amp;OB_Act[[#This Row],[Dump Truck]]&amp;OB_Act[[#This Row],[Contractor]]&amp;OB_Act[[#This Row],[Excavator]]&amp;OB_Act[[#This Row],[Shift]]</f>
        <v/>
      </c>
      <c r="U225" s="126">
        <f>1/COUNTIF(OB_Act[Dummy_DT/Exc],OB_Act[[#This Row],[Dummy_DT/Exc]])</f>
        <v>4.1841004184100415E-3</v>
      </c>
      <c r="V225" s="126" t="e">
        <f>VLOOKUP(OB_Act[[#This Row],[Day]],$AO$2:$AR$32,4,0)</f>
        <v>#N/A</v>
      </c>
      <c r="W225" s="126" t="e">
        <f>VLOOKUP(OB_Act[[#This Row],[Dump Area]],$AE$2:$AF$51,2,0)</f>
        <v>#N/A</v>
      </c>
      <c r="X225" s="126" t="str">
        <f>OB_Act[[#This Row],[Excavator]]&amp;OB_Act[[#This Row],[Contractor]]</f>
        <v/>
      </c>
      <c r="Y225" s="126" t="e">
        <f>IF(OB_Act[[#This Row],[Material]]="MUD",VLOOKUP(OB_Act[[#This Row],[Dump Truck]],Type_mud[[Nama DT]:[Type]],2,0),VLOOKUP(OB_Act[[#This Row],[Dump Truck]],Type_DT_OB[[Nama DT]:[Type]],4,0))</f>
        <v>#N/A</v>
      </c>
      <c r="Z225" s="126" t="e">
        <f>"JBG-OP1-CENTRAL-"&amp;VLOOKUP(OB_Act[[#This Row],[Pit]],$AK$2:$AL$9,2,0)&amp;"-WASTE-"&amp;OB_Act[[#This Row],[Material]]</f>
        <v>#N/A</v>
      </c>
      <c r="AA225" s="126" t="e">
        <f>"JBG-DUMP1-"&amp;VLOOKUP(OB_Act[[#This Row],[Dump]],$AF$2:$AG$55,2,0)&amp;"-"&amp;OB_Act[[#This Row],[Material]]</f>
        <v>#N/A</v>
      </c>
      <c r="AB225" s="126" t="str">
        <f>"JBG-"&amp;OB_Act[[#This Row],[Material]]</f>
        <v>JBG-</v>
      </c>
    </row>
    <row r="226" spans="13:28">
      <c r="M226" s="105">
        <f>OB_Act[[#This Row],[Volume (BCM)]]*OB_Act[[#This Row],[Distance (Meter)]]</f>
        <v>0</v>
      </c>
      <c r="N226" s="105" t="str">
        <f>LEFT(OB_Act[[#This Row],[Dump Truck]],3)</f>
        <v/>
      </c>
      <c r="O226" s="126" t="str">
        <f>OB_Act[[#This Row],[Day]]&amp;OB_Act[[#This Row],[Excavator]]&amp;OB_Act[[#This Row],[Contractor]]&amp;OB_Act[[#This Row],[Pit]]&amp;OB_Act[[#This Row],[Shift]]</f>
        <v/>
      </c>
      <c r="P226" s="126">
        <f>1/COUNTIF(OB_Act[Dummy_Exc],OB_Act[[#This Row],[Dummy_Exc]])</f>
        <v>4.1841004184100415E-3</v>
      </c>
      <c r="Q226" s="105" t="str">
        <f>OB_Act[[#This Row],[Day]]&amp;OB_Act[[#This Row],[Dump Truck]]&amp;OB_Act[[#This Row],[Pit]]&amp;OB_Act[[#This Row],[Shift]]</f>
        <v/>
      </c>
      <c r="R226" s="126">
        <f>1/COUNTIF(OB_Act[Dummy_DT],OB_Act[[#This Row],[Dummy_DT]])</f>
        <v>4.1841004184100415E-3</v>
      </c>
      <c r="S226" s="126">
        <f>OB_Act[[#This Row],[Distance (Meter)]]*OB_Act[[#This Row],[Volume (BCM)]]</f>
        <v>0</v>
      </c>
      <c r="T226" s="105" t="str">
        <f>OB_Act[[#This Row],[Day]]&amp;OB_Act[[#This Row],[Dump Truck]]&amp;OB_Act[[#This Row],[Contractor]]&amp;OB_Act[[#This Row],[Excavator]]&amp;OB_Act[[#This Row],[Shift]]</f>
        <v/>
      </c>
      <c r="U226" s="126">
        <f>1/COUNTIF(OB_Act[Dummy_DT/Exc],OB_Act[[#This Row],[Dummy_DT/Exc]])</f>
        <v>4.1841004184100415E-3</v>
      </c>
      <c r="V226" s="126" t="e">
        <f>VLOOKUP(OB_Act[[#This Row],[Day]],$AO$2:$AR$32,4,0)</f>
        <v>#N/A</v>
      </c>
      <c r="W226" s="126" t="e">
        <f>VLOOKUP(OB_Act[[#This Row],[Dump Area]],$AE$2:$AF$51,2,0)</f>
        <v>#N/A</v>
      </c>
      <c r="X226" s="126" t="str">
        <f>OB_Act[[#This Row],[Excavator]]&amp;OB_Act[[#This Row],[Contractor]]</f>
        <v/>
      </c>
      <c r="Y226" s="126" t="e">
        <f>IF(OB_Act[[#This Row],[Material]]="MUD",VLOOKUP(OB_Act[[#This Row],[Dump Truck]],Type_mud[[Nama DT]:[Type]],2,0),VLOOKUP(OB_Act[[#This Row],[Dump Truck]],Type_DT_OB[[Nama DT]:[Type]],4,0))</f>
        <v>#N/A</v>
      </c>
      <c r="Z226" s="126" t="e">
        <f>"JBG-OP1-CENTRAL-"&amp;VLOOKUP(OB_Act[[#This Row],[Pit]],$AK$2:$AL$9,2,0)&amp;"-WASTE-"&amp;OB_Act[[#This Row],[Material]]</f>
        <v>#N/A</v>
      </c>
      <c r="AA226" s="126" t="e">
        <f>"JBG-DUMP1-"&amp;VLOOKUP(OB_Act[[#This Row],[Dump]],$AF$2:$AG$55,2,0)&amp;"-"&amp;OB_Act[[#This Row],[Material]]</f>
        <v>#N/A</v>
      </c>
      <c r="AB226" s="126" t="str">
        <f>"JBG-"&amp;OB_Act[[#This Row],[Material]]</f>
        <v>JBG-</v>
      </c>
    </row>
    <row r="227" spans="13:28">
      <c r="M227" s="105">
        <f>OB_Act[[#This Row],[Volume (BCM)]]*OB_Act[[#This Row],[Distance (Meter)]]</f>
        <v>0</v>
      </c>
      <c r="N227" s="105" t="str">
        <f>LEFT(OB_Act[[#This Row],[Dump Truck]],3)</f>
        <v/>
      </c>
      <c r="O227" s="126" t="str">
        <f>OB_Act[[#This Row],[Day]]&amp;OB_Act[[#This Row],[Excavator]]&amp;OB_Act[[#This Row],[Contractor]]&amp;OB_Act[[#This Row],[Pit]]&amp;OB_Act[[#This Row],[Shift]]</f>
        <v/>
      </c>
      <c r="P227" s="126">
        <f>1/COUNTIF(OB_Act[Dummy_Exc],OB_Act[[#This Row],[Dummy_Exc]])</f>
        <v>4.1841004184100415E-3</v>
      </c>
      <c r="Q227" s="105" t="str">
        <f>OB_Act[[#This Row],[Day]]&amp;OB_Act[[#This Row],[Dump Truck]]&amp;OB_Act[[#This Row],[Pit]]&amp;OB_Act[[#This Row],[Shift]]</f>
        <v/>
      </c>
      <c r="R227" s="126">
        <f>1/COUNTIF(OB_Act[Dummy_DT],OB_Act[[#This Row],[Dummy_DT]])</f>
        <v>4.1841004184100415E-3</v>
      </c>
      <c r="S227" s="126">
        <f>OB_Act[[#This Row],[Distance (Meter)]]*OB_Act[[#This Row],[Volume (BCM)]]</f>
        <v>0</v>
      </c>
      <c r="T227" s="105" t="str">
        <f>OB_Act[[#This Row],[Day]]&amp;OB_Act[[#This Row],[Dump Truck]]&amp;OB_Act[[#This Row],[Contractor]]&amp;OB_Act[[#This Row],[Excavator]]&amp;OB_Act[[#This Row],[Shift]]</f>
        <v/>
      </c>
      <c r="U227" s="126">
        <f>1/COUNTIF(OB_Act[Dummy_DT/Exc],OB_Act[[#This Row],[Dummy_DT/Exc]])</f>
        <v>4.1841004184100415E-3</v>
      </c>
      <c r="V227" s="126" t="e">
        <f>VLOOKUP(OB_Act[[#This Row],[Day]],$AO$2:$AR$32,4,0)</f>
        <v>#N/A</v>
      </c>
      <c r="W227" s="126" t="e">
        <f>VLOOKUP(OB_Act[[#This Row],[Dump Area]],$AE$2:$AF$51,2,0)</f>
        <v>#N/A</v>
      </c>
      <c r="X227" s="126" t="str">
        <f>OB_Act[[#This Row],[Excavator]]&amp;OB_Act[[#This Row],[Contractor]]</f>
        <v/>
      </c>
      <c r="Y227" s="126" t="e">
        <f>IF(OB_Act[[#This Row],[Material]]="MUD",VLOOKUP(OB_Act[[#This Row],[Dump Truck]],Type_mud[[Nama DT]:[Type]],2,0),VLOOKUP(OB_Act[[#This Row],[Dump Truck]],Type_DT_OB[[Nama DT]:[Type]],4,0))</f>
        <v>#N/A</v>
      </c>
      <c r="Z227" s="126" t="e">
        <f>"JBG-OP1-CENTRAL-"&amp;VLOOKUP(OB_Act[[#This Row],[Pit]],$AK$2:$AL$9,2,0)&amp;"-WASTE-"&amp;OB_Act[[#This Row],[Material]]</f>
        <v>#N/A</v>
      </c>
      <c r="AA227" s="126" t="e">
        <f>"JBG-DUMP1-"&amp;VLOOKUP(OB_Act[[#This Row],[Dump]],$AF$2:$AG$55,2,0)&amp;"-"&amp;OB_Act[[#This Row],[Material]]</f>
        <v>#N/A</v>
      </c>
      <c r="AB227" s="126" t="str">
        <f>"JBG-"&amp;OB_Act[[#This Row],[Material]]</f>
        <v>JBG-</v>
      </c>
    </row>
    <row r="228" spans="13:28">
      <c r="M228" s="105">
        <f>OB_Act[[#This Row],[Volume (BCM)]]*OB_Act[[#This Row],[Distance (Meter)]]</f>
        <v>0</v>
      </c>
      <c r="N228" s="105" t="str">
        <f>LEFT(OB_Act[[#This Row],[Dump Truck]],3)</f>
        <v/>
      </c>
      <c r="O228" s="126" t="str">
        <f>OB_Act[[#This Row],[Day]]&amp;OB_Act[[#This Row],[Excavator]]&amp;OB_Act[[#This Row],[Contractor]]&amp;OB_Act[[#This Row],[Pit]]&amp;OB_Act[[#This Row],[Shift]]</f>
        <v/>
      </c>
      <c r="P228" s="126">
        <f>1/COUNTIF(OB_Act[Dummy_Exc],OB_Act[[#This Row],[Dummy_Exc]])</f>
        <v>4.1841004184100415E-3</v>
      </c>
      <c r="Q228" s="105" t="str">
        <f>OB_Act[[#This Row],[Day]]&amp;OB_Act[[#This Row],[Dump Truck]]&amp;OB_Act[[#This Row],[Pit]]&amp;OB_Act[[#This Row],[Shift]]</f>
        <v/>
      </c>
      <c r="R228" s="126">
        <f>1/COUNTIF(OB_Act[Dummy_DT],OB_Act[[#This Row],[Dummy_DT]])</f>
        <v>4.1841004184100415E-3</v>
      </c>
      <c r="S228" s="126">
        <f>OB_Act[[#This Row],[Distance (Meter)]]*OB_Act[[#This Row],[Volume (BCM)]]</f>
        <v>0</v>
      </c>
      <c r="T228" s="105" t="str">
        <f>OB_Act[[#This Row],[Day]]&amp;OB_Act[[#This Row],[Dump Truck]]&amp;OB_Act[[#This Row],[Contractor]]&amp;OB_Act[[#This Row],[Excavator]]&amp;OB_Act[[#This Row],[Shift]]</f>
        <v/>
      </c>
      <c r="U228" s="126">
        <f>1/COUNTIF(OB_Act[Dummy_DT/Exc],OB_Act[[#This Row],[Dummy_DT/Exc]])</f>
        <v>4.1841004184100415E-3</v>
      </c>
      <c r="V228" s="126" t="e">
        <f>VLOOKUP(OB_Act[[#This Row],[Day]],$AO$2:$AR$32,4,0)</f>
        <v>#N/A</v>
      </c>
      <c r="W228" s="126" t="e">
        <f>VLOOKUP(OB_Act[[#This Row],[Dump Area]],$AE$2:$AF$51,2,0)</f>
        <v>#N/A</v>
      </c>
      <c r="X228" s="126" t="str">
        <f>OB_Act[[#This Row],[Excavator]]&amp;OB_Act[[#This Row],[Contractor]]</f>
        <v/>
      </c>
      <c r="Y228" s="126" t="e">
        <f>IF(OB_Act[[#This Row],[Material]]="MUD",VLOOKUP(OB_Act[[#This Row],[Dump Truck]],Type_mud[[Nama DT]:[Type]],2,0),VLOOKUP(OB_Act[[#This Row],[Dump Truck]],Type_DT_OB[[Nama DT]:[Type]],4,0))</f>
        <v>#N/A</v>
      </c>
      <c r="Z228" s="126" t="e">
        <f>"JBG-OP1-CENTRAL-"&amp;VLOOKUP(OB_Act[[#This Row],[Pit]],$AK$2:$AL$9,2,0)&amp;"-WASTE-"&amp;OB_Act[[#This Row],[Material]]</f>
        <v>#N/A</v>
      </c>
      <c r="AA228" s="126" t="e">
        <f>"JBG-DUMP1-"&amp;VLOOKUP(OB_Act[[#This Row],[Dump]],$AF$2:$AG$55,2,0)&amp;"-"&amp;OB_Act[[#This Row],[Material]]</f>
        <v>#N/A</v>
      </c>
      <c r="AB228" s="126" t="str">
        <f>"JBG-"&amp;OB_Act[[#This Row],[Material]]</f>
        <v>JBG-</v>
      </c>
    </row>
    <row r="229" spans="13:28">
      <c r="M229" s="105">
        <f>OB_Act[[#This Row],[Volume (BCM)]]*OB_Act[[#This Row],[Distance (Meter)]]</f>
        <v>0</v>
      </c>
      <c r="N229" s="105" t="str">
        <f>LEFT(OB_Act[[#This Row],[Dump Truck]],3)</f>
        <v/>
      </c>
      <c r="O229" s="126" t="str">
        <f>OB_Act[[#This Row],[Day]]&amp;OB_Act[[#This Row],[Excavator]]&amp;OB_Act[[#This Row],[Contractor]]&amp;OB_Act[[#This Row],[Pit]]&amp;OB_Act[[#This Row],[Shift]]</f>
        <v/>
      </c>
      <c r="P229" s="126">
        <f>1/COUNTIF(OB_Act[Dummy_Exc],OB_Act[[#This Row],[Dummy_Exc]])</f>
        <v>4.1841004184100415E-3</v>
      </c>
      <c r="Q229" s="105" t="str">
        <f>OB_Act[[#This Row],[Day]]&amp;OB_Act[[#This Row],[Dump Truck]]&amp;OB_Act[[#This Row],[Pit]]&amp;OB_Act[[#This Row],[Shift]]</f>
        <v/>
      </c>
      <c r="R229" s="126">
        <f>1/COUNTIF(OB_Act[Dummy_DT],OB_Act[[#This Row],[Dummy_DT]])</f>
        <v>4.1841004184100415E-3</v>
      </c>
      <c r="S229" s="126">
        <f>OB_Act[[#This Row],[Distance (Meter)]]*OB_Act[[#This Row],[Volume (BCM)]]</f>
        <v>0</v>
      </c>
      <c r="T229" s="105" t="str">
        <f>OB_Act[[#This Row],[Day]]&amp;OB_Act[[#This Row],[Dump Truck]]&amp;OB_Act[[#This Row],[Contractor]]&amp;OB_Act[[#This Row],[Excavator]]&amp;OB_Act[[#This Row],[Shift]]</f>
        <v/>
      </c>
      <c r="U229" s="126">
        <f>1/COUNTIF(OB_Act[Dummy_DT/Exc],OB_Act[[#This Row],[Dummy_DT/Exc]])</f>
        <v>4.1841004184100415E-3</v>
      </c>
      <c r="V229" s="126" t="e">
        <f>VLOOKUP(OB_Act[[#This Row],[Day]],$AO$2:$AR$32,4,0)</f>
        <v>#N/A</v>
      </c>
      <c r="W229" s="126" t="e">
        <f>VLOOKUP(OB_Act[[#This Row],[Dump Area]],$AE$2:$AF$51,2,0)</f>
        <v>#N/A</v>
      </c>
      <c r="X229" s="126" t="str">
        <f>OB_Act[[#This Row],[Excavator]]&amp;OB_Act[[#This Row],[Contractor]]</f>
        <v/>
      </c>
      <c r="Y229" s="126" t="e">
        <f>IF(OB_Act[[#This Row],[Material]]="MUD",VLOOKUP(OB_Act[[#This Row],[Dump Truck]],Type_mud[[Nama DT]:[Type]],2,0),VLOOKUP(OB_Act[[#This Row],[Dump Truck]],Type_DT_OB[[Nama DT]:[Type]],4,0))</f>
        <v>#N/A</v>
      </c>
      <c r="Z229" s="126" t="e">
        <f>"JBG-OP1-CENTRAL-"&amp;VLOOKUP(OB_Act[[#This Row],[Pit]],$AK$2:$AL$9,2,0)&amp;"-WASTE-"&amp;OB_Act[[#This Row],[Material]]</f>
        <v>#N/A</v>
      </c>
      <c r="AA229" s="126" t="e">
        <f>"JBG-DUMP1-"&amp;VLOOKUP(OB_Act[[#This Row],[Dump]],$AF$2:$AG$55,2,0)&amp;"-"&amp;OB_Act[[#This Row],[Material]]</f>
        <v>#N/A</v>
      </c>
      <c r="AB229" s="126" t="str">
        <f>"JBG-"&amp;OB_Act[[#This Row],[Material]]</f>
        <v>JBG-</v>
      </c>
    </row>
    <row r="230" spans="13:28">
      <c r="M230" s="105">
        <f>OB_Act[[#This Row],[Volume (BCM)]]*OB_Act[[#This Row],[Distance (Meter)]]</f>
        <v>0</v>
      </c>
      <c r="N230" s="105" t="str">
        <f>LEFT(OB_Act[[#This Row],[Dump Truck]],3)</f>
        <v/>
      </c>
      <c r="O230" s="126" t="str">
        <f>OB_Act[[#This Row],[Day]]&amp;OB_Act[[#This Row],[Excavator]]&amp;OB_Act[[#This Row],[Contractor]]&amp;OB_Act[[#This Row],[Pit]]&amp;OB_Act[[#This Row],[Shift]]</f>
        <v/>
      </c>
      <c r="P230" s="126">
        <f>1/COUNTIF(OB_Act[Dummy_Exc],OB_Act[[#This Row],[Dummy_Exc]])</f>
        <v>4.1841004184100415E-3</v>
      </c>
      <c r="Q230" s="105" t="str">
        <f>OB_Act[[#This Row],[Day]]&amp;OB_Act[[#This Row],[Dump Truck]]&amp;OB_Act[[#This Row],[Pit]]&amp;OB_Act[[#This Row],[Shift]]</f>
        <v/>
      </c>
      <c r="R230" s="126">
        <f>1/COUNTIF(OB_Act[Dummy_DT],OB_Act[[#This Row],[Dummy_DT]])</f>
        <v>4.1841004184100415E-3</v>
      </c>
      <c r="S230" s="126">
        <f>OB_Act[[#This Row],[Distance (Meter)]]*OB_Act[[#This Row],[Volume (BCM)]]</f>
        <v>0</v>
      </c>
      <c r="T230" s="105" t="str">
        <f>OB_Act[[#This Row],[Day]]&amp;OB_Act[[#This Row],[Dump Truck]]&amp;OB_Act[[#This Row],[Contractor]]&amp;OB_Act[[#This Row],[Excavator]]&amp;OB_Act[[#This Row],[Shift]]</f>
        <v/>
      </c>
      <c r="U230" s="126">
        <f>1/COUNTIF(OB_Act[Dummy_DT/Exc],OB_Act[[#This Row],[Dummy_DT/Exc]])</f>
        <v>4.1841004184100415E-3</v>
      </c>
      <c r="V230" s="126" t="e">
        <f>VLOOKUP(OB_Act[[#This Row],[Day]],$AO$2:$AR$32,4,0)</f>
        <v>#N/A</v>
      </c>
      <c r="W230" s="126" t="e">
        <f>VLOOKUP(OB_Act[[#This Row],[Dump Area]],$AE$2:$AF$51,2,0)</f>
        <v>#N/A</v>
      </c>
      <c r="X230" s="126" t="str">
        <f>OB_Act[[#This Row],[Excavator]]&amp;OB_Act[[#This Row],[Contractor]]</f>
        <v/>
      </c>
      <c r="Y230" s="126" t="e">
        <f>IF(OB_Act[[#This Row],[Material]]="MUD",VLOOKUP(OB_Act[[#This Row],[Dump Truck]],Type_mud[[Nama DT]:[Type]],2,0),VLOOKUP(OB_Act[[#This Row],[Dump Truck]],Type_DT_OB[[Nama DT]:[Type]],4,0))</f>
        <v>#N/A</v>
      </c>
      <c r="Z230" s="126" t="e">
        <f>"JBG-OP1-CENTRAL-"&amp;VLOOKUP(OB_Act[[#This Row],[Pit]],$AK$2:$AL$9,2,0)&amp;"-WASTE-"&amp;OB_Act[[#This Row],[Material]]</f>
        <v>#N/A</v>
      </c>
      <c r="AA230" s="126" t="e">
        <f>"JBG-DUMP1-"&amp;VLOOKUP(OB_Act[[#This Row],[Dump]],$AF$2:$AG$55,2,0)&amp;"-"&amp;OB_Act[[#This Row],[Material]]</f>
        <v>#N/A</v>
      </c>
      <c r="AB230" s="126" t="str">
        <f>"JBG-"&amp;OB_Act[[#This Row],[Material]]</f>
        <v>JBG-</v>
      </c>
    </row>
    <row r="231" spans="13:28">
      <c r="M231" s="105">
        <f>OB_Act[[#This Row],[Volume (BCM)]]*OB_Act[[#This Row],[Distance (Meter)]]</f>
        <v>0</v>
      </c>
      <c r="N231" s="105" t="str">
        <f>LEFT(OB_Act[[#This Row],[Dump Truck]],3)</f>
        <v/>
      </c>
      <c r="O231" s="126" t="str">
        <f>OB_Act[[#This Row],[Day]]&amp;OB_Act[[#This Row],[Excavator]]&amp;OB_Act[[#This Row],[Contractor]]&amp;OB_Act[[#This Row],[Pit]]&amp;OB_Act[[#This Row],[Shift]]</f>
        <v/>
      </c>
      <c r="P231" s="126">
        <f>1/COUNTIF(OB_Act[Dummy_Exc],OB_Act[[#This Row],[Dummy_Exc]])</f>
        <v>4.1841004184100415E-3</v>
      </c>
      <c r="Q231" s="105" t="str">
        <f>OB_Act[[#This Row],[Day]]&amp;OB_Act[[#This Row],[Dump Truck]]&amp;OB_Act[[#This Row],[Pit]]&amp;OB_Act[[#This Row],[Shift]]</f>
        <v/>
      </c>
      <c r="R231" s="126">
        <f>1/COUNTIF(OB_Act[Dummy_DT],OB_Act[[#This Row],[Dummy_DT]])</f>
        <v>4.1841004184100415E-3</v>
      </c>
      <c r="S231" s="126">
        <f>OB_Act[[#This Row],[Distance (Meter)]]*OB_Act[[#This Row],[Volume (BCM)]]</f>
        <v>0</v>
      </c>
      <c r="T231" s="105" t="str">
        <f>OB_Act[[#This Row],[Day]]&amp;OB_Act[[#This Row],[Dump Truck]]&amp;OB_Act[[#This Row],[Contractor]]&amp;OB_Act[[#This Row],[Excavator]]&amp;OB_Act[[#This Row],[Shift]]</f>
        <v/>
      </c>
      <c r="U231" s="126">
        <f>1/COUNTIF(OB_Act[Dummy_DT/Exc],OB_Act[[#This Row],[Dummy_DT/Exc]])</f>
        <v>4.1841004184100415E-3</v>
      </c>
      <c r="V231" s="126" t="e">
        <f>VLOOKUP(OB_Act[[#This Row],[Day]],$AO$2:$AR$32,4,0)</f>
        <v>#N/A</v>
      </c>
      <c r="W231" s="126" t="e">
        <f>VLOOKUP(OB_Act[[#This Row],[Dump Area]],$AE$2:$AF$51,2,0)</f>
        <v>#N/A</v>
      </c>
      <c r="X231" s="126" t="str">
        <f>OB_Act[[#This Row],[Excavator]]&amp;OB_Act[[#This Row],[Contractor]]</f>
        <v/>
      </c>
      <c r="Y231" s="126" t="e">
        <f>IF(OB_Act[[#This Row],[Material]]="MUD",VLOOKUP(OB_Act[[#This Row],[Dump Truck]],Type_mud[[Nama DT]:[Type]],2,0),VLOOKUP(OB_Act[[#This Row],[Dump Truck]],Type_DT_OB[[Nama DT]:[Type]],4,0))</f>
        <v>#N/A</v>
      </c>
      <c r="Z231" s="126" t="e">
        <f>"JBG-OP1-CENTRAL-"&amp;VLOOKUP(OB_Act[[#This Row],[Pit]],$AK$2:$AL$9,2,0)&amp;"-WASTE-"&amp;OB_Act[[#This Row],[Material]]</f>
        <v>#N/A</v>
      </c>
      <c r="AA231" s="126" t="e">
        <f>"JBG-DUMP1-"&amp;VLOOKUP(OB_Act[[#This Row],[Dump]],$AF$2:$AG$55,2,0)&amp;"-"&amp;OB_Act[[#This Row],[Material]]</f>
        <v>#N/A</v>
      </c>
      <c r="AB231" s="126" t="str">
        <f>"JBG-"&amp;OB_Act[[#This Row],[Material]]</f>
        <v>JBG-</v>
      </c>
    </row>
    <row r="232" spans="13:28">
      <c r="M232" s="105">
        <f>OB_Act[[#This Row],[Volume (BCM)]]*OB_Act[[#This Row],[Distance (Meter)]]</f>
        <v>0</v>
      </c>
      <c r="N232" s="105" t="str">
        <f>LEFT(OB_Act[[#This Row],[Dump Truck]],3)</f>
        <v/>
      </c>
      <c r="O232" s="126" t="str">
        <f>OB_Act[[#This Row],[Day]]&amp;OB_Act[[#This Row],[Excavator]]&amp;OB_Act[[#This Row],[Contractor]]&amp;OB_Act[[#This Row],[Pit]]&amp;OB_Act[[#This Row],[Shift]]</f>
        <v/>
      </c>
      <c r="P232" s="126">
        <f>1/COUNTIF(OB_Act[Dummy_Exc],OB_Act[[#This Row],[Dummy_Exc]])</f>
        <v>4.1841004184100415E-3</v>
      </c>
      <c r="Q232" s="105" t="str">
        <f>OB_Act[[#This Row],[Day]]&amp;OB_Act[[#This Row],[Dump Truck]]&amp;OB_Act[[#This Row],[Pit]]&amp;OB_Act[[#This Row],[Shift]]</f>
        <v/>
      </c>
      <c r="R232" s="126">
        <f>1/COUNTIF(OB_Act[Dummy_DT],OB_Act[[#This Row],[Dummy_DT]])</f>
        <v>4.1841004184100415E-3</v>
      </c>
      <c r="S232" s="126">
        <f>OB_Act[[#This Row],[Distance (Meter)]]*OB_Act[[#This Row],[Volume (BCM)]]</f>
        <v>0</v>
      </c>
      <c r="T232" s="105" t="str">
        <f>OB_Act[[#This Row],[Day]]&amp;OB_Act[[#This Row],[Dump Truck]]&amp;OB_Act[[#This Row],[Contractor]]&amp;OB_Act[[#This Row],[Excavator]]&amp;OB_Act[[#This Row],[Shift]]</f>
        <v/>
      </c>
      <c r="U232" s="126">
        <f>1/COUNTIF(OB_Act[Dummy_DT/Exc],OB_Act[[#This Row],[Dummy_DT/Exc]])</f>
        <v>4.1841004184100415E-3</v>
      </c>
      <c r="V232" s="126" t="e">
        <f>VLOOKUP(OB_Act[[#This Row],[Day]],$AO$2:$AR$32,4,0)</f>
        <v>#N/A</v>
      </c>
      <c r="W232" s="126" t="e">
        <f>VLOOKUP(OB_Act[[#This Row],[Dump Area]],$AE$2:$AF$51,2,0)</f>
        <v>#N/A</v>
      </c>
      <c r="X232" s="126" t="str">
        <f>OB_Act[[#This Row],[Excavator]]&amp;OB_Act[[#This Row],[Contractor]]</f>
        <v/>
      </c>
      <c r="Y232" s="126" t="e">
        <f>IF(OB_Act[[#This Row],[Material]]="MUD",VLOOKUP(OB_Act[[#This Row],[Dump Truck]],Type_mud[[Nama DT]:[Type]],2,0),VLOOKUP(OB_Act[[#This Row],[Dump Truck]],Type_DT_OB[[Nama DT]:[Type]],4,0))</f>
        <v>#N/A</v>
      </c>
      <c r="Z232" s="126" t="e">
        <f>"JBG-OP1-CENTRAL-"&amp;VLOOKUP(OB_Act[[#This Row],[Pit]],$AK$2:$AL$9,2,0)&amp;"-WASTE-"&amp;OB_Act[[#This Row],[Material]]</f>
        <v>#N/A</v>
      </c>
      <c r="AA232" s="126" t="e">
        <f>"JBG-DUMP1-"&amp;VLOOKUP(OB_Act[[#This Row],[Dump]],$AF$2:$AG$55,2,0)&amp;"-"&amp;OB_Act[[#This Row],[Material]]</f>
        <v>#N/A</v>
      </c>
      <c r="AB232" s="126" t="str">
        <f>"JBG-"&amp;OB_Act[[#This Row],[Material]]</f>
        <v>JBG-</v>
      </c>
    </row>
    <row r="233" spans="13:28">
      <c r="M233" s="105">
        <f>OB_Act[[#This Row],[Volume (BCM)]]*OB_Act[[#This Row],[Distance (Meter)]]</f>
        <v>0</v>
      </c>
      <c r="N233" s="105" t="str">
        <f>LEFT(OB_Act[[#This Row],[Dump Truck]],3)</f>
        <v/>
      </c>
      <c r="O233" s="126" t="str">
        <f>OB_Act[[#This Row],[Day]]&amp;OB_Act[[#This Row],[Excavator]]&amp;OB_Act[[#This Row],[Contractor]]&amp;OB_Act[[#This Row],[Pit]]&amp;OB_Act[[#This Row],[Shift]]</f>
        <v/>
      </c>
      <c r="P233" s="126">
        <f>1/COUNTIF(OB_Act[Dummy_Exc],OB_Act[[#This Row],[Dummy_Exc]])</f>
        <v>4.1841004184100415E-3</v>
      </c>
      <c r="Q233" s="105" t="str">
        <f>OB_Act[[#This Row],[Day]]&amp;OB_Act[[#This Row],[Dump Truck]]&amp;OB_Act[[#This Row],[Pit]]&amp;OB_Act[[#This Row],[Shift]]</f>
        <v/>
      </c>
      <c r="R233" s="126">
        <f>1/COUNTIF(OB_Act[Dummy_DT],OB_Act[[#This Row],[Dummy_DT]])</f>
        <v>4.1841004184100415E-3</v>
      </c>
      <c r="S233" s="126">
        <f>OB_Act[[#This Row],[Distance (Meter)]]*OB_Act[[#This Row],[Volume (BCM)]]</f>
        <v>0</v>
      </c>
      <c r="T233" s="105" t="str">
        <f>OB_Act[[#This Row],[Day]]&amp;OB_Act[[#This Row],[Dump Truck]]&amp;OB_Act[[#This Row],[Contractor]]&amp;OB_Act[[#This Row],[Excavator]]&amp;OB_Act[[#This Row],[Shift]]</f>
        <v/>
      </c>
      <c r="U233" s="126">
        <f>1/COUNTIF(OB_Act[Dummy_DT/Exc],OB_Act[[#This Row],[Dummy_DT/Exc]])</f>
        <v>4.1841004184100415E-3</v>
      </c>
      <c r="V233" s="126" t="e">
        <f>VLOOKUP(OB_Act[[#This Row],[Day]],$AO$2:$AR$32,4,0)</f>
        <v>#N/A</v>
      </c>
      <c r="W233" s="126" t="e">
        <f>VLOOKUP(OB_Act[[#This Row],[Dump Area]],$AE$2:$AF$51,2,0)</f>
        <v>#N/A</v>
      </c>
      <c r="X233" s="126" t="str">
        <f>OB_Act[[#This Row],[Excavator]]&amp;OB_Act[[#This Row],[Contractor]]</f>
        <v/>
      </c>
      <c r="Y233" s="126" t="e">
        <f>IF(OB_Act[[#This Row],[Material]]="MUD",VLOOKUP(OB_Act[[#This Row],[Dump Truck]],Type_mud[[Nama DT]:[Type]],2,0),VLOOKUP(OB_Act[[#This Row],[Dump Truck]],Type_DT_OB[[Nama DT]:[Type]],4,0))</f>
        <v>#N/A</v>
      </c>
      <c r="Z233" s="126" t="e">
        <f>"JBG-OP1-CENTRAL-"&amp;VLOOKUP(OB_Act[[#This Row],[Pit]],$AK$2:$AL$9,2,0)&amp;"-WASTE-"&amp;OB_Act[[#This Row],[Material]]</f>
        <v>#N/A</v>
      </c>
      <c r="AA233" s="126" t="e">
        <f>"JBG-DUMP1-"&amp;VLOOKUP(OB_Act[[#This Row],[Dump]],$AF$2:$AG$55,2,0)&amp;"-"&amp;OB_Act[[#This Row],[Material]]</f>
        <v>#N/A</v>
      </c>
      <c r="AB233" s="126" t="str">
        <f>"JBG-"&amp;OB_Act[[#This Row],[Material]]</f>
        <v>JBG-</v>
      </c>
    </row>
    <row r="234" spans="13:28">
      <c r="M234" s="105">
        <f>OB_Act[[#This Row],[Volume (BCM)]]*OB_Act[[#This Row],[Distance (Meter)]]</f>
        <v>0</v>
      </c>
      <c r="N234" s="105" t="str">
        <f>LEFT(OB_Act[[#This Row],[Dump Truck]],3)</f>
        <v/>
      </c>
      <c r="O234" s="126" t="str">
        <f>OB_Act[[#This Row],[Day]]&amp;OB_Act[[#This Row],[Excavator]]&amp;OB_Act[[#This Row],[Contractor]]&amp;OB_Act[[#This Row],[Pit]]&amp;OB_Act[[#This Row],[Shift]]</f>
        <v/>
      </c>
      <c r="P234" s="126">
        <f>1/COUNTIF(OB_Act[Dummy_Exc],OB_Act[[#This Row],[Dummy_Exc]])</f>
        <v>4.1841004184100415E-3</v>
      </c>
      <c r="Q234" s="105" t="str">
        <f>OB_Act[[#This Row],[Day]]&amp;OB_Act[[#This Row],[Dump Truck]]&amp;OB_Act[[#This Row],[Pit]]&amp;OB_Act[[#This Row],[Shift]]</f>
        <v/>
      </c>
      <c r="R234" s="126">
        <f>1/COUNTIF(OB_Act[Dummy_DT],OB_Act[[#This Row],[Dummy_DT]])</f>
        <v>4.1841004184100415E-3</v>
      </c>
      <c r="S234" s="126">
        <f>OB_Act[[#This Row],[Distance (Meter)]]*OB_Act[[#This Row],[Volume (BCM)]]</f>
        <v>0</v>
      </c>
      <c r="T234" s="105" t="str">
        <f>OB_Act[[#This Row],[Day]]&amp;OB_Act[[#This Row],[Dump Truck]]&amp;OB_Act[[#This Row],[Contractor]]&amp;OB_Act[[#This Row],[Excavator]]&amp;OB_Act[[#This Row],[Shift]]</f>
        <v/>
      </c>
      <c r="U234" s="126">
        <f>1/COUNTIF(OB_Act[Dummy_DT/Exc],OB_Act[[#This Row],[Dummy_DT/Exc]])</f>
        <v>4.1841004184100415E-3</v>
      </c>
      <c r="V234" s="126" t="e">
        <f>VLOOKUP(OB_Act[[#This Row],[Day]],$AO$2:$AR$32,4,0)</f>
        <v>#N/A</v>
      </c>
      <c r="W234" s="126" t="e">
        <f>VLOOKUP(OB_Act[[#This Row],[Dump Area]],$AE$2:$AF$51,2,0)</f>
        <v>#N/A</v>
      </c>
      <c r="X234" s="126" t="str">
        <f>OB_Act[[#This Row],[Excavator]]&amp;OB_Act[[#This Row],[Contractor]]</f>
        <v/>
      </c>
      <c r="Y234" s="126" t="e">
        <f>IF(OB_Act[[#This Row],[Material]]="MUD",VLOOKUP(OB_Act[[#This Row],[Dump Truck]],Type_mud[[Nama DT]:[Type]],2,0),VLOOKUP(OB_Act[[#This Row],[Dump Truck]],Type_DT_OB[[Nama DT]:[Type]],4,0))</f>
        <v>#N/A</v>
      </c>
      <c r="Z234" s="126" t="e">
        <f>"JBG-OP1-CENTRAL-"&amp;VLOOKUP(OB_Act[[#This Row],[Pit]],$AK$2:$AL$9,2,0)&amp;"-WASTE-"&amp;OB_Act[[#This Row],[Material]]</f>
        <v>#N/A</v>
      </c>
      <c r="AA234" s="126" t="e">
        <f>"JBG-DUMP1-"&amp;VLOOKUP(OB_Act[[#This Row],[Dump]],$AF$2:$AG$55,2,0)&amp;"-"&amp;OB_Act[[#This Row],[Material]]</f>
        <v>#N/A</v>
      </c>
      <c r="AB234" s="126" t="str">
        <f>"JBG-"&amp;OB_Act[[#This Row],[Material]]</f>
        <v>JBG-</v>
      </c>
    </row>
    <row r="235" spans="13:28">
      <c r="M235" s="105">
        <f>OB_Act[[#This Row],[Volume (BCM)]]*OB_Act[[#This Row],[Distance (Meter)]]</f>
        <v>0</v>
      </c>
      <c r="N235" s="105" t="str">
        <f>LEFT(OB_Act[[#This Row],[Dump Truck]],3)</f>
        <v/>
      </c>
      <c r="O235" s="126" t="str">
        <f>OB_Act[[#This Row],[Day]]&amp;OB_Act[[#This Row],[Excavator]]&amp;OB_Act[[#This Row],[Contractor]]&amp;OB_Act[[#This Row],[Pit]]&amp;OB_Act[[#This Row],[Shift]]</f>
        <v/>
      </c>
      <c r="P235" s="126">
        <f>1/COUNTIF(OB_Act[Dummy_Exc],OB_Act[[#This Row],[Dummy_Exc]])</f>
        <v>4.1841004184100415E-3</v>
      </c>
      <c r="Q235" s="105" t="str">
        <f>OB_Act[[#This Row],[Day]]&amp;OB_Act[[#This Row],[Dump Truck]]&amp;OB_Act[[#This Row],[Pit]]&amp;OB_Act[[#This Row],[Shift]]</f>
        <v/>
      </c>
      <c r="R235" s="126">
        <f>1/COUNTIF(OB_Act[Dummy_DT],OB_Act[[#This Row],[Dummy_DT]])</f>
        <v>4.1841004184100415E-3</v>
      </c>
      <c r="S235" s="126">
        <f>OB_Act[[#This Row],[Distance (Meter)]]*OB_Act[[#This Row],[Volume (BCM)]]</f>
        <v>0</v>
      </c>
      <c r="T235" s="105" t="str">
        <f>OB_Act[[#This Row],[Day]]&amp;OB_Act[[#This Row],[Dump Truck]]&amp;OB_Act[[#This Row],[Contractor]]&amp;OB_Act[[#This Row],[Excavator]]&amp;OB_Act[[#This Row],[Shift]]</f>
        <v/>
      </c>
      <c r="U235" s="126">
        <f>1/COUNTIF(OB_Act[Dummy_DT/Exc],OB_Act[[#This Row],[Dummy_DT/Exc]])</f>
        <v>4.1841004184100415E-3</v>
      </c>
      <c r="V235" s="126" t="e">
        <f>VLOOKUP(OB_Act[[#This Row],[Day]],$AO$2:$AR$32,4,0)</f>
        <v>#N/A</v>
      </c>
      <c r="W235" s="126" t="e">
        <f>VLOOKUP(OB_Act[[#This Row],[Dump Area]],$AE$2:$AF$51,2,0)</f>
        <v>#N/A</v>
      </c>
      <c r="X235" s="126" t="str">
        <f>OB_Act[[#This Row],[Excavator]]&amp;OB_Act[[#This Row],[Contractor]]</f>
        <v/>
      </c>
      <c r="Y235" s="126" t="e">
        <f>IF(OB_Act[[#This Row],[Material]]="MUD",VLOOKUP(OB_Act[[#This Row],[Dump Truck]],Type_mud[[Nama DT]:[Type]],2,0),VLOOKUP(OB_Act[[#This Row],[Dump Truck]],Type_DT_OB[[Nama DT]:[Type]],4,0))</f>
        <v>#N/A</v>
      </c>
      <c r="Z235" s="126" t="e">
        <f>"JBG-OP1-CENTRAL-"&amp;VLOOKUP(OB_Act[[#This Row],[Pit]],$AK$2:$AL$9,2,0)&amp;"-WASTE-"&amp;OB_Act[[#This Row],[Material]]</f>
        <v>#N/A</v>
      </c>
      <c r="AA235" s="126" t="e">
        <f>"JBG-DUMP1-"&amp;VLOOKUP(OB_Act[[#This Row],[Dump]],$AF$2:$AG$55,2,0)&amp;"-"&amp;OB_Act[[#This Row],[Material]]</f>
        <v>#N/A</v>
      </c>
      <c r="AB235" s="126" t="str">
        <f>"JBG-"&amp;OB_Act[[#This Row],[Material]]</f>
        <v>JBG-</v>
      </c>
    </row>
    <row r="236" spans="13:28">
      <c r="M236" s="105">
        <f>OB_Act[[#This Row],[Volume (BCM)]]*OB_Act[[#This Row],[Distance (Meter)]]</f>
        <v>0</v>
      </c>
      <c r="N236" s="105" t="str">
        <f>LEFT(OB_Act[[#This Row],[Dump Truck]],3)</f>
        <v/>
      </c>
      <c r="O236" s="126" t="str">
        <f>OB_Act[[#This Row],[Day]]&amp;OB_Act[[#This Row],[Excavator]]&amp;OB_Act[[#This Row],[Contractor]]&amp;OB_Act[[#This Row],[Pit]]&amp;OB_Act[[#This Row],[Shift]]</f>
        <v/>
      </c>
      <c r="P236" s="126">
        <f>1/COUNTIF(OB_Act[Dummy_Exc],OB_Act[[#This Row],[Dummy_Exc]])</f>
        <v>4.1841004184100415E-3</v>
      </c>
      <c r="Q236" s="105" t="str">
        <f>OB_Act[[#This Row],[Day]]&amp;OB_Act[[#This Row],[Dump Truck]]&amp;OB_Act[[#This Row],[Pit]]&amp;OB_Act[[#This Row],[Shift]]</f>
        <v/>
      </c>
      <c r="R236" s="126">
        <f>1/COUNTIF(OB_Act[Dummy_DT],OB_Act[[#This Row],[Dummy_DT]])</f>
        <v>4.1841004184100415E-3</v>
      </c>
      <c r="S236" s="126">
        <f>OB_Act[[#This Row],[Distance (Meter)]]*OB_Act[[#This Row],[Volume (BCM)]]</f>
        <v>0</v>
      </c>
      <c r="T236" s="105" t="str">
        <f>OB_Act[[#This Row],[Day]]&amp;OB_Act[[#This Row],[Dump Truck]]&amp;OB_Act[[#This Row],[Contractor]]&amp;OB_Act[[#This Row],[Excavator]]&amp;OB_Act[[#This Row],[Shift]]</f>
        <v/>
      </c>
      <c r="U236" s="126">
        <f>1/COUNTIF(OB_Act[Dummy_DT/Exc],OB_Act[[#This Row],[Dummy_DT/Exc]])</f>
        <v>4.1841004184100415E-3</v>
      </c>
      <c r="V236" s="126" t="e">
        <f>VLOOKUP(OB_Act[[#This Row],[Day]],$AO$2:$AR$32,4,0)</f>
        <v>#N/A</v>
      </c>
      <c r="W236" s="126" t="e">
        <f>VLOOKUP(OB_Act[[#This Row],[Dump Area]],$AE$2:$AF$51,2,0)</f>
        <v>#N/A</v>
      </c>
      <c r="X236" s="126" t="str">
        <f>OB_Act[[#This Row],[Excavator]]&amp;OB_Act[[#This Row],[Contractor]]</f>
        <v/>
      </c>
      <c r="Y236" s="126" t="e">
        <f>IF(OB_Act[[#This Row],[Material]]="MUD",VLOOKUP(OB_Act[[#This Row],[Dump Truck]],Type_mud[[Nama DT]:[Type]],2,0),VLOOKUP(OB_Act[[#This Row],[Dump Truck]],Type_DT_OB[[Nama DT]:[Type]],4,0))</f>
        <v>#N/A</v>
      </c>
      <c r="Z236" s="126" t="e">
        <f>"JBG-OP1-CENTRAL-"&amp;VLOOKUP(OB_Act[[#This Row],[Pit]],$AK$2:$AL$9,2,0)&amp;"-WASTE-"&amp;OB_Act[[#This Row],[Material]]</f>
        <v>#N/A</v>
      </c>
      <c r="AA236" s="126" t="e">
        <f>"JBG-DUMP1-"&amp;VLOOKUP(OB_Act[[#This Row],[Dump]],$AF$2:$AG$55,2,0)&amp;"-"&amp;OB_Act[[#This Row],[Material]]</f>
        <v>#N/A</v>
      </c>
      <c r="AB236" s="126" t="str">
        <f>"JBG-"&amp;OB_Act[[#This Row],[Material]]</f>
        <v>JBG-</v>
      </c>
    </row>
    <row r="237" spans="13:28">
      <c r="M237" s="105">
        <f>OB_Act[[#This Row],[Volume (BCM)]]*OB_Act[[#This Row],[Distance (Meter)]]</f>
        <v>0</v>
      </c>
      <c r="N237" s="105" t="str">
        <f>LEFT(OB_Act[[#This Row],[Dump Truck]],3)</f>
        <v/>
      </c>
      <c r="O237" s="126" t="str">
        <f>OB_Act[[#This Row],[Day]]&amp;OB_Act[[#This Row],[Excavator]]&amp;OB_Act[[#This Row],[Contractor]]&amp;OB_Act[[#This Row],[Pit]]&amp;OB_Act[[#This Row],[Shift]]</f>
        <v/>
      </c>
      <c r="P237" s="126">
        <f>1/COUNTIF(OB_Act[Dummy_Exc],OB_Act[[#This Row],[Dummy_Exc]])</f>
        <v>4.1841004184100415E-3</v>
      </c>
      <c r="Q237" s="105" t="str">
        <f>OB_Act[[#This Row],[Day]]&amp;OB_Act[[#This Row],[Dump Truck]]&amp;OB_Act[[#This Row],[Pit]]&amp;OB_Act[[#This Row],[Shift]]</f>
        <v/>
      </c>
      <c r="R237" s="126">
        <f>1/COUNTIF(OB_Act[Dummy_DT],OB_Act[[#This Row],[Dummy_DT]])</f>
        <v>4.1841004184100415E-3</v>
      </c>
      <c r="S237" s="126">
        <f>OB_Act[[#This Row],[Distance (Meter)]]*OB_Act[[#This Row],[Volume (BCM)]]</f>
        <v>0</v>
      </c>
      <c r="T237" s="105" t="str">
        <f>OB_Act[[#This Row],[Day]]&amp;OB_Act[[#This Row],[Dump Truck]]&amp;OB_Act[[#This Row],[Contractor]]&amp;OB_Act[[#This Row],[Excavator]]&amp;OB_Act[[#This Row],[Shift]]</f>
        <v/>
      </c>
      <c r="U237" s="126">
        <f>1/COUNTIF(OB_Act[Dummy_DT/Exc],OB_Act[[#This Row],[Dummy_DT/Exc]])</f>
        <v>4.1841004184100415E-3</v>
      </c>
      <c r="V237" s="126" t="e">
        <f>VLOOKUP(OB_Act[[#This Row],[Day]],$AO$2:$AR$32,4,0)</f>
        <v>#N/A</v>
      </c>
      <c r="W237" s="126" t="e">
        <f>VLOOKUP(OB_Act[[#This Row],[Dump Area]],$AE$2:$AF$51,2,0)</f>
        <v>#N/A</v>
      </c>
      <c r="X237" s="126" t="str">
        <f>OB_Act[[#This Row],[Excavator]]&amp;OB_Act[[#This Row],[Contractor]]</f>
        <v/>
      </c>
      <c r="Y237" s="126" t="e">
        <f>IF(OB_Act[[#This Row],[Material]]="MUD",VLOOKUP(OB_Act[[#This Row],[Dump Truck]],Type_mud[[Nama DT]:[Type]],2,0),VLOOKUP(OB_Act[[#This Row],[Dump Truck]],Type_DT_OB[[Nama DT]:[Type]],4,0))</f>
        <v>#N/A</v>
      </c>
      <c r="Z237" s="126" t="e">
        <f>"JBG-OP1-CENTRAL-"&amp;VLOOKUP(OB_Act[[#This Row],[Pit]],$AK$2:$AL$9,2,0)&amp;"-WASTE-"&amp;OB_Act[[#This Row],[Material]]</f>
        <v>#N/A</v>
      </c>
      <c r="AA237" s="126" t="e">
        <f>"JBG-DUMP1-"&amp;VLOOKUP(OB_Act[[#This Row],[Dump]],$AF$2:$AG$55,2,0)&amp;"-"&amp;OB_Act[[#This Row],[Material]]</f>
        <v>#N/A</v>
      </c>
      <c r="AB237" s="126" t="str">
        <f>"JBG-"&amp;OB_Act[[#This Row],[Material]]</f>
        <v>JBG-</v>
      </c>
    </row>
    <row r="238" spans="13:28">
      <c r="M238" s="105">
        <f>OB_Act[[#This Row],[Volume (BCM)]]*OB_Act[[#This Row],[Distance (Meter)]]</f>
        <v>0</v>
      </c>
      <c r="N238" s="105" t="str">
        <f>LEFT(OB_Act[[#This Row],[Dump Truck]],3)</f>
        <v/>
      </c>
      <c r="O238" s="126" t="str">
        <f>OB_Act[[#This Row],[Day]]&amp;OB_Act[[#This Row],[Excavator]]&amp;OB_Act[[#This Row],[Contractor]]&amp;OB_Act[[#This Row],[Pit]]&amp;OB_Act[[#This Row],[Shift]]</f>
        <v/>
      </c>
      <c r="P238" s="126">
        <f>1/COUNTIF(OB_Act[Dummy_Exc],OB_Act[[#This Row],[Dummy_Exc]])</f>
        <v>4.1841004184100415E-3</v>
      </c>
      <c r="Q238" s="105" t="str">
        <f>OB_Act[[#This Row],[Day]]&amp;OB_Act[[#This Row],[Dump Truck]]&amp;OB_Act[[#This Row],[Pit]]&amp;OB_Act[[#This Row],[Shift]]</f>
        <v/>
      </c>
      <c r="R238" s="126">
        <f>1/COUNTIF(OB_Act[Dummy_DT],OB_Act[[#This Row],[Dummy_DT]])</f>
        <v>4.1841004184100415E-3</v>
      </c>
      <c r="S238" s="126">
        <f>OB_Act[[#This Row],[Distance (Meter)]]*OB_Act[[#This Row],[Volume (BCM)]]</f>
        <v>0</v>
      </c>
      <c r="T238" s="105" t="str">
        <f>OB_Act[[#This Row],[Day]]&amp;OB_Act[[#This Row],[Dump Truck]]&amp;OB_Act[[#This Row],[Contractor]]&amp;OB_Act[[#This Row],[Excavator]]&amp;OB_Act[[#This Row],[Shift]]</f>
        <v/>
      </c>
      <c r="U238" s="126">
        <f>1/COUNTIF(OB_Act[Dummy_DT/Exc],OB_Act[[#This Row],[Dummy_DT/Exc]])</f>
        <v>4.1841004184100415E-3</v>
      </c>
      <c r="V238" s="126" t="e">
        <f>VLOOKUP(OB_Act[[#This Row],[Day]],$AO$2:$AR$32,4,0)</f>
        <v>#N/A</v>
      </c>
      <c r="W238" s="126" t="e">
        <f>VLOOKUP(OB_Act[[#This Row],[Dump Area]],$AE$2:$AF$51,2,0)</f>
        <v>#N/A</v>
      </c>
      <c r="X238" s="126" t="str">
        <f>OB_Act[[#This Row],[Excavator]]&amp;OB_Act[[#This Row],[Contractor]]</f>
        <v/>
      </c>
      <c r="Y238" s="126" t="e">
        <f>IF(OB_Act[[#This Row],[Material]]="MUD",VLOOKUP(OB_Act[[#This Row],[Dump Truck]],Type_mud[[Nama DT]:[Type]],2,0),VLOOKUP(OB_Act[[#This Row],[Dump Truck]],Type_DT_OB[[Nama DT]:[Type]],4,0))</f>
        <v>#N/A</v>
      </c>
      <c r="Z238" s="126" t="e">
        <f>"JBG-OP1-CENTRAL-"&amp;VLOOKUP(OB_Act[[#This Row],[Pit]],$AK$2:$AL$9,2,0)&amp;"-WASTE-"&amp;OB_Act[[#This Row],[Material]]</f>
        <v>#N/A</v>
      </c>
      <c r="AA238" s="126" t="e">
        <f>"JBG-DUMP1-"&amp;VLOOKUP(OB_Act[[#This Row],[Dump]],$AF$2:$AG$55,2,0)&amp;"-"&amp;OB_Act[[#This Row],[Material]]</f>
        <v>#N/A</v>
      </c>
      <c r="AB238" s="126" t="str">
        <f>"JBG-"&amp;OB_Act[[#This Row],[Material]]</f>
        <v>JBG-</v>
      </c>
    </row>
    <row r="239" spans="13:28">
      <c r="M239" s="105">
        <f>OB_Act[[#This Row],[Volume (BCM)]]*OB_Act[[#This Row],[Distance (Meter)]]</f>
        <v>0</v>
      </c>
      <c r="N239" s="105" t="str">
        <f>LEFT(OB_Act[[#This Row],[Dump Truck]],3)</f>
        <v/>
      </c>
      <c r="O239" s="126" t="str">
        <f>OB_Act[[#This Row],[Day]]&amp;OB_Act[[#This Row],[Excavator]]&amp;OB_Act[[#This Row],[Contractor]]&amp;OB_Act[[#This Row],[Pit]]&amp;OB_Act[[#This Row],[Shift]]</f>
        <v/>
      </c>
      <c r="P239" s="126">
        <f>1/COUNTIF(OB_Act[Dummy_Exc],OB_Act[[#This Row],[Dummy_Exc]])</f>
        <v>4.1841004184100415E-3</v>
      </c>
      <c r="Q239" s="105" t="str">
        <f>OB_Act[[#This Row],[Day]]&amp;OB_Act[[#This Row],[Dump Truck]]&amp;OB_Act[[#This Row],[Pit]]&amp;OB_Act[[#This Row],[Shift]]</f>
        <v/>
      </c>
      <c r="R239" s="126">
        <f>1/COUNTIF(OB_Act[Dummy_DT],OB_Act[[#This Row],[Dummy_DT]])</f>
        <v>4.1841004184100415E-3</v>
      </c>
      <c r="S239" s="126">
        <f>OB_Act[[#This Row],[Distance (Meter)]]*OB_Act[[#This Row],[Volume (BCM)]]</f>
        <v>0</v>
      </c>
      <c r="T239" s="105" t="str">
        <f>OB_Act[[#This Row],[Day]]&amp;OB_Act[[#This Row],[Dump Truck]]&amp;OB_Act[[#This Row],[Contractor]]&amp;OB_Act[[#This Row],[Excavator]]&amp;OB_Act[[#This Row],[Shift]]</f>
        <v/>
      </c>
      <c r="U239" s="126">
        <f>1/COUNTIF(OB_Act[Dummy_DT/Exc],OB_Act[[#This Row],[Dummy_DT/Exc]])</f>
        <v>4.1841004184100415E-3</v>
      </c>
      <c r="V239" s="126" t="e">
        <f>VLOOKUP(OB_Act[[#This Row],[Day]],$AO$2:$AR$32,4,0)</f>
        <v>#N/A</v>
      </c>
      <c r="W239" s="126" t="e">
        <f>VLOOKUP(OB_Act[[#This Row],[Dump Area]],$AE$2:$AF$51,2,0)</f>
        <v>#N/A</v>
      </c>
      <c r="X239" s="126" t="str">
        <f>OB_Act[[#This Row],[Excavator]]&amp;OB_Act[[#This Row],[Contractor]]</f>
        <v/>
      </c>
      <c r="Y239" s="126" t="e">
        <f>IF(OB_Act[[#This Row],[Material]]="MUD",VLOOKUP(OB_Act[[#This Row],[Dump Truck]],Type_mud[[Nama DT]:[Type]],2,0),VLOOKUP(OB_Act[[#This Row],[Dump Truck]],Type_DT_OB[[Nama DT]:[Type]],4,0))</f>
        <v>#N/A</v>
      </c>
      <c r="Z239" s="126" t="e">
        <f>"JBG-OP1-CENTRAL-"&amp;VLOOKUP(OB_Act[[#This Row],[Pit]],$AK$2:$AL$9,2,0)&amp;"-WASTE-"&amp;OB_Act[[#This Row],[Material]]</f>
        <v>#N/A</v>
      </c>
      <c r="AA239" s="126" t="e">
        <f>"JBG-DUMP1-"&amp;VLOOKUP(OB_Act[[#This Row],[Dump]],$AF$2:$AG$55,2,0)&amp;"-"&amp;OB_Act[[#This Row],[Material]]</f>
        <v>#N/A</v>
      </c>
      <c r="AB239" s="126" t="str">
        <f>"JBG-"&amp;OB_Act[[#This Row],[Material]]</f>
        <v>JBG-</v>
      </c>
    </row>
    <row r="240" spans="13:28">
      <c r="M240" s="105">
        <f>OB_Act[[#This Row],[Volume (BCM)]]*OB_Act[[#This Row],[Distance (Meter)]]</f>
        <v>0</v>
      </c>
      <c r="N240" s="105" t="str">
        <f>LEFT(OB_Act[[#This Row],[Dump Truck]],3)</f>
        <v/>
      </c>
      <c r="O240" s="126" t="str">
        <f>OB_Act[[#This Row],[Day]]&amp;OB_Act[[#This Row],[Excavator]]&amp;OB_Act[[#This Row],[Contractor]]&amp;OB_Act[[#This Row],[Pit]]&amp;OB_Act[[#This Row],[Shift]]</f>
        <v/>
      </c>
      <c r="P240" s="126">
        <f>1/COUNTIF(OB_Act[Dummy_Exc],OB_Act[[#This Row],[Dummy_Exc]])</f>
        <v>4.1841004184100415E-3</v>
      </c>
      <c r="Q240" s="105" t="str">
        <f>OB_Act[[#This Row],[Day]]&amp;OB_Act[[#This Row],[Dump Truck]]&amp;OB_Act[[#This Row],[Pit]]&amp;OB_Act[[#This Row],[Shift]]</f>
        <v/>
      </c>
      <c r="R240" s="126">
        <f>1/COUNTIF(OB_Act[Dummy_DT],OB_Act[[#This Row],[Dummy_DT]])</f>
        <v>4.1841004184100415E-3</v>
      </c>
      <c r="S240" s="126">
        <f>OB_Act[[#This Row],[Distance (Meter)]]*OB_Act[[#This Row],[Volume (BCM)]]</f>
        <v>0</v>
      </c>
      <c r="T240" s="105" t="str">
        <f>OB_Act[[#This Row],[Day]]&amp;OB_Act[[#This Row],[Dump Truck]]&amp;OB_Act[[#This Row],[Contractor]]&amp;OB_Act[[#This Row],[Excavator]]&amp;OB_Act[[#This Row],[Shift]]</f>
        <v/>
      </c>
      <c r="U240" s="126">
        <f>1/COUNTIF(OB_Act[Dummy_DT/Exc],OB_Act[[#This Row],[Dummy_DT/Exc]])</f>
        <v>4.1841004184100415E-3</v>
      </c>
      <c r="V240" s="126" t="e">
        <f>VLOOKUP(OB_Act[[#This Row],[Day]],$AO$2:$AR$32,4,0)</f>
        <v>#N/A</v>
      </c>
      <c r="W240" s="126" t="e">
        <f>VLOOKUP(OB_Act[[#This Row],[Dump Area]],$AE$2:$AF$51,2,0)</f>
        <v>#N/A</v>
      </c>
      <c r="X240" s="126" t="str">
        <f>OB_Act[[#This Row],[Excavator]]&amp;OB_Act[[#This Row],[Contractor]]</f>
        <v/>
      </c>
      <c r="Y240" s="126" t="e">
        <f>IF(OB_Act[[#This Row],[Material]]="MUD",VLOOKUP(OB_Act[[#This Row],[Dump Truck]],Type_mud[[Nama DT]:[Type]],2,0),VLOOKUP(OB_Act[[#This Row],[Dump Truck]],Type_DT_OB[[Nama DT]:[Type]],4,0))</f>
        <v>#N/A</v>
      </c>
      <c r="Z240" s="126" t="e">
        <f>"JBG-OP1-CENTRAL-"&amp;VLOOKUP(OB_Act[[#This Row],[Pit]],$AK$2:$AL$9,2,0)&amp;"-WASTE-"&amp;OB_Act[[#This Row],[Material]]</f>
        <v>#N/A</v>
      </c>
      <c r="AA240" s="126" t="e">
        <f>"JBG-DUMP1-"&amp;VLOOKUP(OB_Act[[#This Row],[Dump]],$AF$2:$AG$55,2,0)&amp;"-"&amp;OB_Act[[#This Row],[Material]]</f>
        <v>#N/A</v>
      </c>
      <c r="AB240" s="126" t="str">
        <f>"JBG-"&amp;OB_Act[[#This Row],[Material]]</f>
        <v>JBG-</v>
      </c>
    </row>
    <row r="241" spans="13:28">
      <c r="M241" s="105">
        <f>OB_Act[[#This Row],[Volume (BCM)]]*OB_Act[[#This Row],[Distance (Meter)]]</f>
        <v>0</v>
      </c>
      <c r="N241" s="105" t="str">
        <f>LEFT(OB_Act[[#This Row],[Dump Truck]],3)</f>
        <v/>
      </c>
      <c r="O241" s="126" t="str">
        <f>OB_Act[[#This Row],[Day]]&amp;OB_Act[[#This Row],[Excavator]]&amp;OB_Act[[#This Row],[Contractor]]&amp;OB_Act[[#This Row],[Pit]]&amp;OB_Act[[#This Row],[Shift]]</f>
        <v/>
      </c>
      <c r="P241" s="126">
        <f>1/COUNTIF(OB_Act[Dummy_Exc],OB_Act[[#This Row],[Dummy_Exc]])</f>
        <v>4.1841004184100415E-3</v>
      </c>
      <c r="Q241" s="105" t="str">
        <f>OB_Act[[#This Row],[Day]]&amp;OB_Act[[#This Row],[Dump Truck]]&amp;OB_Act[[#This Row],[Pit]]&amp;OB_Act[[#This Row],[Shift]]</f>
        <v/>
      </c>
      <c r="R241" s="126">
        <f>1/COUNTIF(OB_Act[Dummy_DT],OB_Act[[#This Row],[Dummy_DT]])</f>
        <v>4.1841004184100415E-3</v>
      </c>
      <c r="S241" s="126">
        <f>OB_Act[[#This Row],[Distance (Meter)]]*OB_Act[[#This Row],[Volume (BCM)]]</f>
        <v>0</v>
      </c>
      <c r="T241" s="105" t="str">
        <f>OB_Act[[#This Row],[Day]]&amp;OB_Act[[#This Row],[Dump Truck]]&amp;OB_Act[[#This Row],[Contractor]]&amp;OB_Act[[#This Row],[Excavator]]&amp;OB_Act[[#This Row],[Shift]]</f>
        <v/>
      </c>
      <c r="U241" s="126">
        <f>1/COUNTIF(OB_Act[Dummy_DT/Exc],OB_Act[[#This Row],[Dummy_DT/Exc]])</f>
        <v>4.1841004184100415E-3</v>
      </c>
      <c r="V241" s="126" t="e">
        <f>VLOOKUP(OB_Act[[#This Row],[Day]],$AO$2:$AR$32,4,0)</f>
        <v>#N/A</v>
      </c>
      <c r="W241" s="126" t="e">
        <f>VLOOKUP(OB_Act[[#This Row],[Dump Area]],$AE$2:$AF$51,2,0)</f>
        <v>#N/A</v>
      </c>
      <c r="X241" s="126" t="str">
        <f>OB_Act[[#This Row],[Excavator]]&amp;OB_Act[[#This Row],[Contractor]]</f>
        <v/>
      </c>
      <c r="Y241" s="126" t="e">
        <f>IF(OB_Act[[#This Row],[Material]]="MUD",VLOOKUP(OB_Act[[#This Row],[Dump Truck]],Type_mud[[Nama DT]:[Type]],2,0),VLOOKUP(OB_Act[[#This Row],[Dump Truck]],Type_DT_OB[[Nama DT]:[Type]],4,0))</f>
        <v>#N/A</v>
      </c>
      <c r="Z241" s="126" t="e">
        <f>"JBG-OP1-CENTRAL-"&amp;VLOOKUP(OB_Act[[#This Row],[Pit]],$AK$2:$AL$9,2,0)&amp;"-WASTE-"&amp;OB_Act[[#This Row],[Material]]</f>
        <v>#N/A</v>
      </c>
      <c r="AA241" s="126" t="e">
        <f>"JBG-DUMP1-"&amp;VLOOKUP(OB_Act[[#This Row],[Dump]],$AF$2:$AG$55,2,0)&amp;"-"&amp;OB_Act[[#This Row],[Material]]</f>
        <v>#N/A</v>
      </c>
      <c r="AB241" s="126" t="str">
        <f>"JBG-"&amp;OB_Act[[#This Row],[Material]]</f>
        <v>JBG-</v>
      </c>
    </row>
    <row r="242" spans="13:28">
      <c r="M242" s="105">
        <f>OB_Act[[#This Row],[Volume (BCM)]]*OB_Act[[#This Row],[Distance (Meter)]]</f>
        <v>0</v>
      </c>
      <c r="N242" s="105" t="str">
        <f>LEFT(OB_Act[[#This Row],[Dump Truck]],3)</f>
        <v/>
      </c>
      <c r="O242" s="126" t="str">
        <f>OB_Act[[#This Row],[Day]]&amp;OB_Act[[#This Row],[Excavator]]&amp;OB_Act[[#This Row],[Contractor]]&amp;OB_Act[[#This Row],[Pit]]&amp;OB_Act[[#This Row],[Shift]]</f>
        <v/>
      </c>
      <c r="P242" s="126">
        <f>1/COUNTIF(OB_Act[Dummy_Exc],OB_Act[[#This Row],[Dummy_Exc]])</f>
        <v>4.1841004184100415E-3</v>
      </c>
      <c r="Q242" s="105" t="str">
        <f>OB_Act[[#This Row],[Day]]&amp;OB_Act[[#This Row],[Dump Truck]]&amp;OB_Act[[#This Row],[Pit]]&amp;OB_Act[[#This Row],[Shift]]</f>
        <v/>
      </c>
      <c r="R242" s="126">
        <f>1/COUNTIF(OB_Act[Dummy_DT],OB_Act[[#This Row],[Dummy_DT]])</f>
        <v>4.1841004184100415E-3</v>
      </c>
      <c r="S242" s="126">
        <f>OB_Act[[#This Row],[Distance (Meter)]]*OB_Act[[#This Row],[Volume (BCM)]]</f>
        <v>0</v>
      </c>
      <c r="T242" s="105" t="str">
        <f>OB_Act[[#This Row],[Day]]&amp;OB_Act[[#This Row],[Dump Truck]]&amp;OB_Act[[#This Row],[Contractor]]&amp;OB_Act[[#This Row],[Excavator]]&amp;OB_Act[[#This Row],[Shift]]</f>
        <v/>
      </c>
      <c r="U242" s="126">
        <f>1/COUNTIF(OB_Act[Dummy_DT/Exc],OB_Act[[#This Row],[Dummy_DT/Exc]])</f>
        <v>4.1841004184100415E-3</v>
      </c>
      <c r="V242" s="126" t="e">
        <f>VLOOKUP(OB_Act[[#This Row],[Day]],$AO$2:$AR$32,4,0)</f>
        <v>#N/A</v>
      </c>
      <c r="W242" s="126" t="e">
        <f>VLOOKUP(OB_Act[[#This Row],[Dump Area]],$AE$2:$AF$51,2,0)</f>
        <v>#N/A</v>
      </c>
      <c r="X242" s="126" t="str">
        <f>OB_Act[[#This Row],[Excavator]]&amp;OB_Act[[#This Row],[Contractor]]</f>
        <v/>
      </c>
      <c r="Y242" s="126" t="e">
        <f>IF(OB_Act[[#This Row],[Material]]="MUD",VLOOKUP(OB_Act[[#This Row],[Dump Truck]],Type_mud[[Nama DT]:[Type]],2,0),VLOOKUP(OB_Act[[#This Row],[Dump Truck]],Type_DT_OB[[Nama DT]:[Type]],4,0))</f>
        <v>#N/A</v>
      </c>
      <c r="Z242" s="126" t="e">
        <f>"JBG-OP1-CENTRAL-"&amp;VLOOKUP(OB_Act[[#This Row],[Pit]],$AK$2:$AL$9,2,0)&amp;"-WASTE-"&amp;OB_Act[[#This Row],[Material]]</f>
        <v>#N/A</v>
      </c>
      <c r="AA242" s="126" t="e">
        <f>"JBG-DUMP1-"&amp;VLOOKUP(OB_Act[[#This Row],[Dump]],$AF$2:$AG$55,2,0)&amp;"-"&amp;OB_Act[[#This Row],[Material]]</f>
        <v>#N/A</v>
      </c>
      <c r="AB242" s="126" t="str">
        <f>"JBG-"&amp;OB_Act[[#This Row],[Material]]</f>
        <v>JBG-</v>
      </c>
    </row>
    <row r="243" spans="13:28">
      <c r="M243" s="105">
        <f>OB_Act[[#This Row],[Volume (BCM)]]*OB_Act[[#This Row],[Distance (Meter)]]</f>
        <v>0</v>
      </c>
      <c r="N243" s="105" t="str">
        <f>LEFT(OB_Act[[#This Row],[Dump Truck]],3)</f>
        <v/>
      </c>
      <c r="O243" s="126" t="str">
        <f>OB_Act[[#This Row],[Day]]&amp;OB_Act[[#This Row],[Excavator]]&amp;OB_Act[[#This Row],[Contractor]]&amp;OB_Act[[#This Row],[Pit]]&amp;OB_Act[[#This Row],[Shift]]</f>
        <v/>
      </c>
      <c r="P243" s="126">
        <f>1/COUNTIF(OB_Act[Dummy_Exc],OB_Act[[#This Row],[Dummy_Exc]])</f>
        <v>4.1841004184100415E-3</v>
      </c>
      <c r="Q243" s="105" t="str">
        <f>OB_Act[[#This Row],[Day]]&amp;OB_Act[[#This Row],[Dump Truck]]&amp;OB_Act[[#This Row],[Pit]]&amp;OB_Act[[#This Row],[Shift]]</f>
        <v/>
      </c>
      <c r="R243" s="126">
        <f>1/COUNTIF(OB_Act[Dummy_DT],OB_Act[[#This Row],[Dummy_DT]])</f>
        <v>4.1841004184100415E-3</v>
      </c>
      <c r="S243" s="126">
        <f>OB_Act[[#This Row],[Distance (Meter)]]*OB_Act[[#This Row],[Volume (BCM)]]</f>
        <v>0</v>
      </c>
      <c r="T243" s="105" t="str">
        <f>OB_Act[[#This Row],[Day]]&amp;OB_Act[[#This Row],[Dump Truck]]&amp;OB_Act[[#This Row],[Contractor]]&amp;OB_Act[[#This Row],[Excavator]]&amp;OB_Act[[#This Row],[Shift]]</f>
        <v/>
      </c>
      <c r="U243" s="126">
        <f>1/COUNTIF(OB_Act[Dummy_DT/Exc],OB_Act[[#This Row],[Dummy_DT/Exc]])</f>
        <v>4.1841004184100415E-3</v>
      </c>
      <c r="V243" s="126" t="e">
        <f>VLOOKUP(OB_Act[[#This Row],[Day]],$AO$2:$AR$32,4,0)</f>
        <v>#N/A</v>
      </c>
      <c r="W243" s="126" t="e">
        <f>VLOOKUP(OB_Act[[#This Row],[Dump Area]],$AE$2:$AF$51,2,0)</f>
        <v>#N/A</v>
      </c>
      <c r="X243" s="126" t="str">
        <f>OB_Act[[#This Row],[Excavator]]&amp;OB_Act[[#This Row],[Contractor]]</f>
        <v/>
      </c>
      <c r="Y243" s="126" t="e">
        <f>IF(OB_Act[[#This Row],[Material]]="MUD",VLOOKUP(OB_Act[[#This Row],[Dump Truck]],Type_mud[[Nama DT]:[Type]],2,0),VLOOKUP(OB_Act[[#This Row],[Dump Truck]],Type_DT_OB[[Nama DT]:[Type]],4,0))</f>
        <v>#N/A</v>
      </c>
      <c r="Z243" s="126" t="e">
        <f>"JBG-OP1-CENTRAL-"&amp;VLOOKUP(OB_Act[[#This Row],[Pit]],$AK$2:$AL$9,2,0)&amp;"-WASTE-"&amp;OB_Act[[#This Row],[Material]]</f>
        <v>#N/A</v>
      </c>
      <c r="AA243" s="126" t="e">
        <f>"JBG-DUMP1-"&amp;VLOOKUP(OB_Act[[#This Row],[Dump]],$AF$2:$AG$55,2,0)&amp;"-"&amp;OB_Act[[#This Row],[Material]]</f>
        <v>#N/A</v>
      </c>
      <c r="AB243" s="126" t="str">
        <f>"JBG-"&amp;OB_Act[[#This Row],[Material]]</f>
        <v>JBG-</v>
      </c>
    </row>
    <row r="244" spans="13:28">
      <c r="M244" s="105">
        <f>OB_Act[[#This Row],[Volume (BCM)]]*OB_Act[[#This Row],[Distance (Meter)]]</f>
        <v>0</v>
      </c>
      <c r="N244" s="105" t="str">
        <f>LEFT(OB_Act[[#This Row],[Dump Truck]],3)</f>
        <v/>
      </c>
      <c r="O244" s="126" t="str">
        <f>OB_Act[[#This Row],[Day]]&amp;OB_Act[[#This Row],[Excavator]]&amp;OB_Act[[#This Row],[Contractor]]&amp;OB_Act[[#This Row],[Pit]]&amp;OB_Act[[#This Row],[Shift]]</f>
        <v/>
      </c>
      <c r="P244" s="126">
        <f>1/COUNTIF(OB_Act[Dummy_Exc],OB_Act[[#This Row],[Dummy_Exc]])</f>
        <v>4.1841004184100415E-3</v>
      </c>
      <c r="Q244" s="105" t="str">
        <f>OB_Act[[#This Row],[Day]]&amp;OB_Act[[#This Row],[Dump Truck]]&amp;OB_Act[[#This Row],[Pit]]&amp;OB_Act[[#This Row],[Shift]]</f>
        <v/>
      </c>
      <c r="R244" s="126">
        <f>1/COUNTIF(OB_Act[Dummy_DT],OB_Act[[#This Row],[Dummy_DT]])</f>
        <v>4.1841004184100415E-3</v>
      </c>
      <c r="S244" s="126">
        <f>OB_Act[[#This Row],[Distance (Meter)]]*OB_Act[[#This Row],[Volume (BCM)]]</f>
        <v>0</v>
      </c>
      <c r="T244" s="105" t="str">
        <f>OB_Act[[#This Row],[Day]]&amp;OB_Act[[#This Row],[Dump Truck]]&amp;OB_Act[[#This Row],[Contractor]]&amp;OB_Act[[#This Row],[Excavator]]&amp;OB_Act[[#This Row],[Shift]]</f>
        <v/>
      </c>
      <c r="U244" s="126">
        <f>1/COUNTIF(OB_Act[Dummy_DT/Exc],OB_Act[[#This Row],[Dummy_DT/Exc]])</f>
        <v>4.1841004184100415E-3</v>
      </c>
      <c r="V244" s="126" t="e">
        <f>VLOOKUP(OB_Act[[#This Row],[Day]],$AO$2:$AR$32,4,0)</f>
        <v>#N/A</v>
      </c>
      <c r="W244" s="126" t="e">
        <f>VLOOKUP(OB_Act[[#This Row],[Dump Area]],$AE$2:$AF$51,2,0)</f>
        <v>#N/A</v>
      </c>
      <c r="X244" s="126" t="str">
        <f>OB_Act[[#This Row],[Excavator]]&amp;OB_Act[[#This Row],[Contractor]]</f>
        <v/>
      </c>
      <c r="Y244" s="126" t="e">
        <f>IF(OB_Act[[#This Row],[Material]]="MUD",VLOOKUP(OB_Act[[#This Row],[Dump Truck]],Type_mud[[Nama DT]:[Type]],2,0),VLOOKUP(OB_Act[[#This Row],[Dump Truck]],Type_DT_OB[[Nama DT]:[Type]],4,0))</f>
        <v>#N/A</v>
      </c>
      <c r="Z244" s="126" t="e">
        <f>"JBG-OP1-CENTRAL-"&amp;VLOOKUP(OB_Act[[#This Row],[Pit]],$AK$2:$AL$9,2,0)&amp;"-WASTE-"&amp;OB_Act[[#This Row],[Material]]</f>
        <v>#N/A</v>
      </c>
      <c r="AA244" s="126" t="e">
        <f>"JBG-DUMP1-"&amp;VLOOKUP(OB_Act[[#This Row],[Dump]],$AF$2:$AG$55,2,0)&amp;"-"&amp;OB_Act[[#This Row],[Material]]</f>
        <v>#N/A</v>
      </c>
      <c r="AB244" s="126" t="str">
        <f>"JBG-"&amp;OB_Act[[#This Row],[Material]]</f>
        <v>JBG-</v>
      </c>
    </row>
    <row r="245" spans="13:28">
      <c r="M245" s="105">
        <f>OB_Act[[#This Row],[Volume (BCM)]]*OB_Act[[#This Row],[Distance (Meter)]]</f>
        <v>0</v>
      </c>
      <c r="N245" s="105" t="str">
        <f>LEFT(OB_Act[[#This Row],[Dump Truck]],3)</f>
        <v/>
      </c>
      <c r="O245" s="126" t="str">
        <f>OB_Act[[#This Row],[Day]]&amp;OB_Act[[#This Row],[Excavator]]&amp;OB_Act[[#This Row],[Contractor]]&amp;OB_Act[[#This Row],[Pit]]&amp;OB_Act[[#This Row],[Shift]]</f>
        <v/>
      </c>
      <c r="P245" s="126">
        <f>1/COUNTIF(OB_Act[Dummy_Exc],OB_Act[[#This Row],[Dummy_Exc]])</f>
        <v>4.1841004184100415E-3</v>
      </c>
      <c r="Q245" s="105" t="str">
        <f>OB_Act[[#This Row],[Day]]&amp;OB_Act[[#This Row],[Dump Truck]]&amp;OB_Act[[#This Row],[Pit]]&amp;OB_Act[[#This Row],[Shift]]</f>
        <v/>
      </c>
      <c r="R245" s="126">
        <f>1/COUNTIF(OB_Act[Dummy_DT],OB_Act[[#This Row],[Dummy_DT]])</f>
        <v>4.1841004184100415E-3</v>
      </c>
      <c r="S245" s="126">
        <f>OB_Act[[#This Row],[Distance (Meter)]]*OB_Act[[#This Row],[Volume (BCM)]]</f>
        <v>0</v>
      </c>
      <c r="T245" s="105" t="str">
        <f>OB_Act[[#This Row],[Day]]&amp;OB_Act[[#This Row],[Dump Truck]]&amp;OB_Act[[#This Row],[Contractor]]&amp;OB_Act[[#This Row],[Excavator]]&amp;OB_Act[[#This Row],[Shift]]</f>
        <v/>
      </c>
      <c r="U245" s="126">
        <f>1/COUNTIF(OB_Act[Dummy_DT/Exc],OB_Act[[#This Row],[Dummy_DT/Exc]])</f>
        <v>4.1841004184100415E-3</v>
      </c>
      <c r="V245" s="126" t="e">
        <f>VLOOKUP(OB_Act[[#This Row],[Day]],$AO$2:$AR$32,4,0)</f>
        <v>#N/A</v>
      </c>
      <c r="W245" s="126" t="e">
        <f>VLOOKUP(OB_Act[[#This Row],[Dump Area]],$AE$2:$AF$51,2,0)</f>
        <v>#N/A</v>
      </c>
      <c r="X245" s="126" t="str">
        <f>OB_Act[[#This Row],[Excavator]]&amp;OB_Act[[#This Row],[Contractor]]</f>
        <v/>
      </c>
      <c r="Y245" s="126" t="e">
        <f>IF(OB_Act[[#This Row],[Material]]="MUD",VLOOKUP(OB_Act[[#This Row],[Dump Truck]],Type_mud[[Nama DT]:[Type]],2,0),VLOOKUP(OB_Act[[#This Row],[Dump Truck]],Type_DT_OB[[Nama DT]:[Type]],4,0))</f>
        <v>#N/A</v>
      </c>
      <c r="Z245" s="126" t="e">
        <f>"JBG-OP1-CENTRAL-"&amp;VLOOKUP(OB_Act[[#This Row],[Pit]],$AK$2:$AL$9,2,0)&amp;"-WASTE-"&amp;OB_Act[[#This Row],[Material]]</f>
        <v>#N/A</v>
      </c>
      <c r="AA245" s="126" t="e">
        <f>"JBG-DUMP1-"&amp;VLOOKUP(OB_Act[[#This Row],[Dump]],$AF$2:$AG$55,2,0)&amp;"-"&amp;OB_Act[[#This Row],[Material]]</f>
        <v>#N/A</v>
      </c>
      <c r="AB245" s="126" t="str">
        <f>"JBG-"&amp;OB_Act[[#This Row],[Material]]</f>
        <v>JBG-</v>
      </c>
    </row>
    <row r="246" spans="13:28">
      <c r="M246" s="105">
        <f>OB_Act[[#This Row],[Volume (BCM)]]*OB_Act[[#This Row],[Distance (Meter)]]</f>
        <v>0</v>
      </c>
      <c r="N246" s="105" t="str">
        <f>LEFT(OB_Act[[#This Row],[Dump Truck]],3)</f>
        <v/>
      </c>
      <c r="O246" s="126" t="str">
        <f>OB_Act[[#This Row],[Day]]&amp;OB_Act[[#This Row],[Excavator]]&amp;OB_Act[[#This Row],[Contractor]]&amp;OB_Act[[#This Row],[Pit]]&amp;OB_Act[[#This Row],[Shift]]</f>
        <v/>
      </c>
      <c r="P246" s="126">
        <f>1/COUNTIF(OB_Act[Dummy_Exc],OB_Act[[#This Row],[Dummy_Exc]])</f>
        <v>4.1841004184100415E-3</v>
      </c>
      <c r="Q246" s="105" t="str">
        <f>OB_Act[[#This Row],[Day]]&amp;OB_Act[[#This Row],[Dump Truck]]&amp;OB_Act[[#This Row],[Pit]]&amp;OB_Act[[#This Row],[Shift]]</f>
        <v/>
      </c>
      <c r="R246" s="126">
        <f>1/COUNTIF(OB_Act[Dummy_DT],OB_Act[[#This Row],[Dummy_DT]])</f>
        <v>4.1841004184100415E-3</v>
      </c>
      <c r="S246" s="126">
        <f>OB_Act[[#This Row],[Distance (Meter)]]*OB_Act[[#This Row],[Volume (BCM)]]</f>
        <v>0</v>
      </c>
      <c r="T246" s="105" t="str">
        <f>OB_Act[[#This Row],[Day]]&amp;OB_Act[[#This Row],[Dump Truck]]&amp;OB_Act[[#This Row],[Contractor]]&amp;OB_Act[[#This Row],[Excavator]]&amp;OB_Act[[#This Row],[Shift]]</f>
        <v/>
      </c>
      <c r="U246" s="126">
        <f>1/COUNTIF(OB_Act[Dummy_DT/Exc],OB_Act[[#This Row],[Dummy_DT/Exc]])</f>
        <v>4.1841004184100415E-3</v>
      </c>
      <c r="V246" s="126" t="e">
        <f>VLOOKUP(OB_Act[[#This Row],[Day]],$AO$2:$AR$32,4,0)</f>
        <v>#N/A</v>
      </c>
      <c r="W246" s="126" t="e">
        <f>VLOOKUP(OB_Act[[#This Row],[Dump Area]],$AE$2:$AF$51,2,0)</f>
        <v>#N/A</v>
      </c>
      <c r="X246" s="126" t="str">
        <f>OB_Act[[#This Row],[Excavator]]&amp;OB_Act[[#This Row],[Contractor]]</f>
        <v/>
      </c>
      <c r="Y246" s="126" t="e">
        <f>IF(OB_Act[[#This Row],[Material]]="MUD",VLOOKUP(OB_Act[[#This Row],[Dump Truck]],Type_mud[[Nama DT]:[Type]],2,0),VLOOKUP(OB_Act[[#This Row],[Dump Truck]],Type_DT_OB[[Nama DT]:[Type]],4,0))</f>
        <v>#N/A</v>
      </c>
      <c r="Z246" s="126" t="e">
        <f>"JBG-OP1-CENTRAL-"&amp;VLOOKUP(OB_Act[[#This Row],[Pit]],$AK$2:$AL$9,2,0)&amp;"-WASTE-"&amp;OB_Act[[#This Row],[Material]]</f>
        <v>#N/A</v>
      </c>
      <c r="AA246" s="126" t="e">
        <f>"JBG-DUMP1-"&amp;VLOOKUP(OB_Act[[#This Row],[Dump]],$AF$2:$AG$55,2,0)&amp;"-"&amp;OB_Act[[#This Row],[Material]]</f>
        <v>#N/A</v>
      </c>
      <c r="AB246" s="126" t="str">
        <f>"JBG-"&amp;OB_Act[[#This Row],[Material]]</f>
        <v>JBG-</v>
      </c>
    </row>
    <row r="247" spans="13:28">
      <c r="M247" s="105">
        <f>OB_Act[[#This Row],[Volume (BCM)]]*OB_Act[[#This Row],[Distance (Meter)]]</f>
        <v>0</v>
      </c>
      <c r="N247" s="105" t="str">
        <f>LEFT(OB_Act[[#This Row],[Dump Truck]],3)</f>
        <v/>
      </c>
      <c r="O247" s="126" t="str">
        <f>OB_Act[[#This Row],[Day]]&amp;OB_Act[[#This Row],[Excavator]]&amp;OB_Act[[#This Row],[Contractor]]&amp;OB_Act[[#This Row],[Pit]]&amp;OB_Act[[#This Row],[Shift]]</f>
        <v/>
      </c>
      <c r="P247" s="126">
        <f>1/COUNTIF(OB_Act[Dummy_Exc],OB_Act[[#This Row],[Dummy_Exc]])</f>
        <v>4.1841004184100415E-3</v>
      </c>
      <c r="Q247" s="105" t="str">
        <f>OB_Act[[#This Row],[Day]]&amp;OB_Act[[#This Row],[Dump Truck]]&amp;OB_Act[[#This Row],[Pit]]&amp;OB_Act[[#This Row],[Shift]]</f>
        <v/>
      </c>
      <c r="R247" s="126">
        <f>1/COUNTIF(OB_Act[Dummy_DT],OB_Act[[#This Row],[Dummy_DT]])</f>
        <v>4.1841004184100415E-3</v>
      </c>
      <c r="S247" s="126">
        <f>OB_Act[[#This Row],[Distance (Meter)]]*OB_Act[[#This Row],[Volume (BCM)]]</f>
        <v>0</v>
      </c>
      <c r="T247" s="105" t="str">
        <f>OB_Act[[#This Row],[Day]]&amp;OB_Act[[#This Row],[Dump Truck]]&amp;OB_Act[[#This Row],[Contractor]]&amp;OB_Act[[#This Row],[Excavator]]&amp;OB_Act[[#This Row],[Shift]]</f>
        <v/>
      </c>
      <c r="U247" s="126">
        <f>1/COUNTIF(OB_Act[Dummy_DT/Exc],OB_Act[[#This Row],[Dummy_DT/Exc]])</f>
        <v>4.1841004184100415E-3</v>
      </c>
      <c r="V247" s="126" t="e">
        <f>VLOOKUP(OB_Act[[#This Row],[Day]],$AO$2:$AR$32,4,0)</f>
        <v>#N/A</v>
      </c>
      <c r="W247" s="126" t="e">
        <f>VLOOKUP(OB_Act[[#This Row],[Dump Area]],$AE$2:$AF$51,2,0)</f>
        <v>#N/A</v>
      </c>
      <c r="X247" s="126" t="str">
        <f>OB_Act[[#This Row],[Excavator]]&amp;OB_Act[[#This Row],[Contractor]]</f>
        <v/>
      </c>
      <c r="Y247" s="126" t="e">
        <f>IF(OB_Act[[#This Row],[Material]]="MUD",VLOOKUP(OB_Act[[#This Row],[Dump Truck]],Type_mud[[Nama DT]:[Type]],2,0),VLOOKUP(OB_Act[[#This Row],[Dump Truck]],Type_DT_OB[[Nama DT]:[Type]],4,0))</f>
        <v>#N/A</v>
      </c>
      <c r="Z247" s="126" t="e">
        <f>"JBG-OP1-CENTRAL-"&amp;VLOOKUP(OB_Act[[#This Row],[Pit]],$AK$2:$AL$9,2,0)&amp;"-WASTE-"&amp;OB_Act[[#This Row],[Material]]</f>
        <v>#N/A</v>
      </c>
      <c r="AA247" s="126" t="e">
        <f>"JBG-DUMP1-"&amp;VLOOKUP(OB_Act[[#This Row],[Dump]],$AF$2:$AG$55,2,0)&amp;"-"&amp;OB_Act[[#This Row],[Material]]</f>
        <v>#N/A</v>
      </c>
      <c r="AB247" s="126" t="str">
        <f>"JBG-"&amp;OB_Act[[#This Row],[Material]]</f>
        <v>JBG-</v>
      </c>
    </row>
    <row r="248" spans="13:28">
      <c r="M248" s="105">
        <f>OB_Act[[#This Row],[Volume (BCM)]]*OB_Act[[#This Row],[Distance (Meter)]]</f>
        <v>0</v>
      </c>
      <c r="N248" s="105" t="str">
        <f>LEFT(OB_Act[[#This Row],[Dump Truck]],3)</f>
        <v/>
      </c>
      <c r="O248" s="126" t="str">
        <f>OB_Act[[#This Row],[Day]]&amp;OB_Act[[#This Row],[Excavator]]&amp;OB_Act[[#This Row],[Contractor]]&amp;OB_Act[[#This Row],[Pit]]&amp;OB_Act[[#This Row],[Shift]]</f>
        <v/>
      </c>
      <c r="P248" s="126">
        <f>1/COUNTIF(OB_Act[Dummy_Exc],OB_Act[[#This Row],[Dummy_Exc]])</f>
        <v>4.1841004184100415E-3</v>
      </c>
      <c r="Q248" s="105" t="str">
        <f>OB_Act[[#This Row],[Day]]&amp;OB_Act[[#This Row],[Dump Truck]]&amp;OB_Act[[#This Row],[Pit]]&amp;OB_Act[[#This Row],[Shift]]</f>
        <v/>
      </c>
      <c r="R248" s="126">
        <f>1/COUNTIF(OB_Act[Dummy_DT],OB_Act[[#This Row],[Dummy_DT]])</f>
        <v>4.1841004184100415E-3</v>
      </c>
      <c r="S248" s="126">
        <f>OB_Act[[#This Row],[Distance (Meter)]]*OB_Act[[#This Row],[Volume (BCM)]]</f>
        <v>0</v>
      </c>
      <c r="T248" s="105" t="str">
        <f>OB_Act[[#This Row],[Day]]&amp;OB_Act[[#This Row],[Dump Truck]]&amp;OB_Act[[#This Row],[Contractor]]&amp;OB_Act[[#This Row],[Excavator]]&amp;OB_Act[[#This Row],[Shift]]</f>
        <v/>
      </c>
      <c r="U248" s="126">
        <f>1/COUNTIF(OB_Act[Dummy_DT/Exc],OB_Act[[#This Row],[Dummy_DT/Exc]])</f>
        <v>4.1841004184100415E-3</v>
      </c>
      <c r="V248" s="126" t="e">
        <f>VLOOKUP(OB_Act[[#This Row],[Day]],$AO$2:$AR$32,4,0)</f>
        <v>#N/A</v>
      </c>
      <c r="W248" s="126" t="e">
        <f>VLOOKUP(OB_Act[[#This Row],[Dump Area]],$AE$2:$AF$51,2,0)</f>
        <v>#N/A</v>
      </c>
      <c r="X248" s="126" t="str">
        <f>OB_Act[[#This Row],[Excavator]]&amp;OB_Act[[#This Row],[Contractor]]</f>
        <v/>
      </c>
      <c r="Y248" s="126" t="e">
        <f>IF(OB_Act[[#This Row],[Material]]="MUD",VLOOKUP(OB_Act[[#This Row],[Dump Truck]],Type_mud[[Nama DT]:[Type]],2,0),VLOOKUP(OB_Act[[#This Row],[Dump Truck]],Type_DT_OB[[Nama DT]:[Type]],4,0))</f>
        <v>#N/A</v>
      </c>
      <c r="Z248" s="126" t="e">
        <f>"JBG-OP1-CENTRAL-"&amp;VLOOKUP(OB_Act[[#This Row],[Pit]],$AK$2:$AL$9,2,0)&amp;"-WASTE-"&amp;OB_Act[[#This Row],[Material]]</f>
        <v>#N/A</v>
      </c>
      <c r="AA248" s="126" t="e">
        <f>"JBG-DUMP1-"&amp;VLOOKUP(OB_Act[[#This Row],[Dump]],$AF$2:$AG$55,2,0)&amp;"-"&amp;OB_Act[[#This Row],[Material]]</f>
        <v>#N/A</v>
      </c>
      <c r="AB248" s="126" t="str">
        <f>"JBG-"&amp;OB_Act[[#This Row],[Material]]</f>
        <v>JBG-</v>
      </c>
    </row>
    <row r="249" spans="13:28">
      <c r="M249" s="105">
        <f>OB_Act[[#This Row],[Volume (BCM)]]*OB_Act[[#This Row],[Distance (Meter)]]</f>
        <v>0</v>
      </c>
      <c r="N249" s="105" t="str">
        <f>LEFT(OB_Act[[#This Row],[Dump Truck]],3)</f>
        <v/>
      </c>
      <c r="O249" s="126" t="str">
        <f>OB_Act[[#This Row],[Day]]&amp;OB_Act[[#This Row],[Excavator]]&amp;OB_Act[[#This Row],[Contractor]]&amp;OB_Act[[#This Row],[Pit]]&amp;OB_Act[[#This Row],[Shift]]</f>
        <v/>
      </c>
      <c r="P249" s="126">
        <f>1/COUNTIF(OB_Act[Dummy_Exc],OB_Act[[#This Row],[Dummy_Exc]])</f>
        <v>4.1841004184100415E-3</v>
      </c>
      <c r="Q249" s="105" t="str">
        <f>OB_Act[[#This Row],[Day]]&amp;OB_Act[[#This Row],[Dump Truck]]&amp;OB_Act[[#This Row],[Pit]]&amp;OB_Act[[#This Row],[Shift]]</f>
        <v/>
      </c>
      <c r="R249" s="126">
        <f>1/COUNTIF(OB_Act[Dummy_DT],OB_Act[[#This Row],[Dummy_DT]])</f>
        <v>4.1841004184100415E-3</v>
      </c>
      <c r="S249" s="126">
        <f>OB_Act[[#This Row],[Distance (Meter)]]*OB_Act[[#This Row],[Volume (BCM)]]</f>
        <v>0</v>
      </c>
      <c r="T249" s="105" t="str">
        <f>OB_Act[[#This Row],[Day]]&amp;OB_Act[[#This Row],[Dump Truck]]&amp;OB_Act[[#This Row],[Contractor]]&amp;OB_Act[[#This Row],[Excavator]]&amp;OB_Act[[#This Row],[Shift]]</f>
        <v/>
      </c>
      <c r="U249" s="126">
        <f>1/COUNTIF(OB_Act[Dummy_DT/Exc],OB_Act[[#This Row],[Dummy_DT/Exc]])</f>
        <v>4.1841004184100415E-3</v>
      </c>
      <c r="V249" s="126" t="e">
        <f>VLOOKUP(OB_Act[[#This Row],[Day]],$AO$2:$AR$32,4,0)</f>
        <v>#N/A</v>
      </c>
      <c r="W249" s="126" t="e">
        <f>VLOOKUP(OB_Act[[#This Row],[Dump Area]],$AE$2:$AF$51,2,0)</f>
        <v>#N/A</v>
      </c>
      <c r="X249" s="126" t="str">
        <f>OB_Act[[#This Row],[Excavator]]&amp;OB_Act[[#This Row],[Contractor]]</f>
        <v/>
      </c>
      <c r="Y249" s="126" t="e">
        <f>IF(OB_Act[[#This Row],[Material]]="MUD",VLOOKUP(OB_Act[[#This Row],[Dump Truck]],Type_mud[[Nama DT]:[Type]],2,0),VLOOKUP(OB_Act[[#This Row],[Dump Truck]],Type_DT_OB[[Nama DT]:[Type]],4,0))</f>
        <v>#N/A</v>
      </c>
      <c r="Z249" s="126" t="e">
        <f>"JBG-OP1-CENTRAL-"&amp;VLOOKUP(OB_Act[[#This Row],[Pit]],$AK$2:$AL$9,2,0)&amp;"-WASTE-"&amp;OB_Act[[#This Row],[Material]]</f>
        <v>#N/A</v>
      </c>
      <c r="AA249" s="126" t="e">
        <f>"JBG-DUMP1-"&amp;VLOOKUP(OB_Act[[#This Row],[Dump]],$AF$2:$AG$55,2,0)&amp;"-"&amp;OB_Act[[#This Row],[Material]]</f>
        <v>#N/A</v>
      </c>
      <c r="AB249" s="126" t="str">
        <f>"JBG-"&amp;OB_Act[[#This Row],[Material]]</f>
        <v>JBG-</v>
      </c>
    </row>
    <row r="250" spans="13:28">
      <c r="M250" s="105">
        <f>OB_Act[[#This Row],[Volume (BCM)]]*OB_Act[[#This Row],[Distance (Meter)]]</f>
        <v>0</v>
      </c>
      <c r="N250" s="105" t="str">
        <f>LEFT(OB_Act[[#This Row],[Dump Truck]],3)</f>
        <v/>
      </c>
      <c r="O250" s="126" t="str">
        <f>OB_Act[[#This Row],[Day]]&amp;OB_Act[[#This Row],[Excavator]]&amp;OB_Act[[#This Row],[Contractor]]&amp;OB_Act[[#This Row],[Pit]]&amp;OB_Act[[#This Row],[Shift]]</f>
        <v/>
      </c>
      <c r="P250" s="126">
        <f>1/COUNTIF(OB_Act[Dummy_Exc],OB_Act[[#This Row],[Dummy_Exc]])</f>
        <v>4.1841004184100415E-3</v>
      </c>
      <c r="Q250" s="105" t="str">
        <f>OB_Act[[#This Row],[Day]]&amp;OB_Act[[#This Row],[Dump Truck]]&amp;OB_Act[[#This Row],[Pit]]&amp;OB_Act[[#This Row],[Shift]]</f>
        <v/>
      </c>
      <c r="R250" s="126">
        <f>1/COUNTIF(OB_Act[Dummy_DT],OB_Act[[#This Row],[Dummy_DT]])</f>
        <v>4.1841004184100415E-3</v>
      </c>
      <c r="S250" s="126">
        <f>OB_Act[[#This Row],[Distance (Meter)]]*OB_Act[[#This Row],[Volume (BCM)]]</f>
        <v>0</v>
      </c>
      <c r="T250" s="105" t="str">
        <f>OB_Act[[#This Row],[Day]]&amp;OB_Act[[#This Row],[Dump Truck]]&amp;OB_Act[[#This Row],[Contractor]]&amp;OB_Act[[#This Row],[Excavator]]&amp;OB_Act[[#This Row],[Shift]]</f>
        <v/>
      </c>
      <c r="U250" s="126">
        <f>1/COUNTIF(OB_Act[Dummy_DT/Exc],OB_Act[[#This Row],[Dummy_DT/Exc]])</f>
        <v>4.1841004184100415E-3</v>
      </c>
      <c r="V250" s="126" t="e">
        <f>VLOOKUP(OB_Act[[#This Row],[Day]],$AO$2:$AR$32,4,0)</f>
        <v>#N/A</v>
      </c>
      <c r="W250" s="126" t="e">
        <f>VLOOKUP(OB_Act[[#This Row],[Dump Area]],$AE$2:$AF$51,2,0)</f>
        <v>#N/A</v>
      </c>
      <c r="X250" s="126" t="str">
        <f>OB_Act[[#This Row],[Excavator]]&amp;OB_Act[[#This Row],[Contractor]]</f>
        <v/>
      </c>
      <c r="Y250" s="126" t="e">
        <f>IF(OB_Act[[#This Row],[Material]]="MUD",VLOOKUP(OB_Act[[#This Row],[Dump Truck]],Type_mud[[Nama DT]:[Type]],2,0),VLOOKUP(OB_Act[[#This Row],[Dump Truck]],Type_DT_OB[[Nama DT]:[Type]],4,0))</f>
        <v>#N/A</v>
      </c>
      <c r="Z250" s="126" t="e">
        <f>"JBG-OP1-CENTRAL-"&amp;VLOOKUP(OB_Act[[#This Row],[Pit]],$AK$2:$AL$9,2,0)&amp;"-WASTE-"&amp;OB_Act[[#This Row],[Material]]</f>
        <v>#N/A</v>
      </c>
      <c r="AA250" s="126" t="e">
        <f>"JBG-DUMP1-"&amp;VLOOKUP(OB_Act[[#This Row],[Dump]],$AF$2:$AG$55,2,0)&amp;"-"&amp;OB_Act[[#This Row],[Material]]</f>
        <v>#N/A</v>
      </c>
      <c r="AB250" s="126" t="str">
        <f>"JBG-"&amp;OB_Act[[#This Row],[Material]]</f>
        <v>JBG-</v>
      </c>
    </row>
    <row r="251" spans="13:28">
      <c r="M251" s="105">
        <f>OB_Act[[#This Row],[Volume (BCM)]]*OB_Act[[#This Row],[Distance (Meter)]]</f>
        <v>0</v>
      </c>
      <c r="N251" s="105" t="str">
        <f>LEFT(OB_Act[[#This Row],[Dump Truck]],3)</f>
        <v/>
      </c>
      <c r="O251" s="126" t="str">
        <f>OB_Act[[#This Row],[Day]]&amp;OB_Act[[#This Row],[Excavator]]&amp;OB_Act[[#This Row],[Contractor]]&amp;OB_Act[[#This Row],[Pit]]&amp;OB_Act[[#This Row],[Shift]]</f>
        <v/>
      </c>
      <c r="P251" s="126">
        <f>1/COUNTIF(OB_Act[Dummy_Exc],OB_Act[[#This Row],[Dummy_Exc]])</f>
        <v>4.1841004184100415E-3</v>
      </c>
      <c r="Q251" s="105" t="str">
        <f>OB_Act[[#This Row],[Day]]&amp;OB_Act[[#This Row],[Dump Truck]]&amp;OB_Act[[#This Row],[Pit]]&amp;OB_Act[[#This Row],[Shift]]</f>
        <v/>
      </c>
      <c r="R251" s="126">
        <f>1/COUNTIF(OB_Act[Dummy_DT],OB_Act[[#This Row],[Dummy_DT]])</f>
        <v>4.1841004184100415E-3</v>
      </c>
      <c r="S251" s="126">
        <f>OB_Act[[#This Row],[Distance (Meter)]]*OB_Act[[#This Row],[Volume (BCM)]]</f>
        <v>0</v>
      </c>
      <c r="T251" s="105" t="str">
        <f>OB_Act[[#This Row],[Day]]&amp;OB_Act[[#This Row],[Dump Truck]]&amp;OB_Act[[#This Row],[Contractor]]&amp;OB_Act[[#This Row],[Excavator]]&amp;OB_Act[[#This Row],[Shift]]</f>
        <v/>
      </c>
      <c r="U251" s="126">
        <f>1/COUNTIF(OB_Act[Dummy_DT/Exc],OB_Act[[#This Row],[Dummy_DT/Exc]])</f>
        <v>4.1841004184100415E-3</v>
      </c>
      <c r="V251" s="126" t="e">
        <f>VLOOKUP(OB_Act[[#This Row],[Day]],$AO$2:$AR$32,4,0)</f>
        <v>#N/A</v>
      </c>
      <c r="W251" s="126" t="e">
        <f>VLOOKUP(OB_Act[[#This Row],[Dump Area]],$AE$2:$AF$51,2,0)</f>
        <v>#N/A</v>
      </c>
      <c r="X251" s="126" t="str">
        <f>OB_Act[[#This Row],[Excavator]]&amp;OB_Act[[#This Row],[Contractor]]</f>
        <v/>
      </c>
      <c r="Y251" s="126" t="e">
        <f>IF(OB_Act[[#This Row],[Material]]="MUD",VLOOKUP(OB_Act[[#This Row],[Dump Truck]],Type_mud[[Nama DT]:[Type]],2,0),VLOOKUP(OB_Act[[#This Row],[Dump Truck]],Type_DT_OB[[Nama DT]:[Type]],4,0))</f>
        <v>#N/A</v>
      </c>
      <c r="Z251" s="126" t="e">
        <f>"JBG-OP1-CENTRAL-"&amp;VLOOKUP(OB_Act[[#This Row],[Pit]],$AK$2:$AL$9,2,0)&amp;"-WASTE-"&amp;OB_Act[[#This Row],[Material]]</f>
        <v>#N/A</v>
      </c>
      <c r="AA251" s="126" t="e">
        <f>"JBG-DUMP1-"&amp;VLOOKUP(OB_Act[[#This Row],[Dump]],$AF$2:$AG$55,2,0)&amp;"-"&amp;OB_Act[[#This Row],[Material]]</f>
        <v>#N/A</v>
      </c>
      <c r="AB251" s="126" t="str">
        <f>"JBG-"&amp;OB_Act[[#This Row],[Material]]</f>
        <v>JBG-</v>
      </c>
    </row>
    <row r="252" spans="13:28">
      <c r="M252" s="105">
        <f>OB_Act[[#This Row],[Volume (BCM)]]*OB_Act[[#This Row],[Distance (Meter)]]</f>
        <v>0</v>
      </c>
      <c r="N252" s="105" t="str">
        <f>LEFT(OB_Act[[#This Row],[Dump Truck]],3)</f>
        <v/>
      </c>
      <c r="O252" s="126" t="str">
        <f>OB_Act[[#This Row],[Day]]&amp;OB_Act[[#This Row],[Excavator]]&amp;OB_Act[[#This Row],[Contractor]]&amp;OB_Act[[#This Row],[Pit]]&amp;OB_Act[[#This Row],[Shift]]</f>
        <v/>
      </c>
      <c r="P252" s="126">
        <f>1/COUNTIF(OB_Act[Dummy_Exc],OB_Act[[#This Row],[Dummy_Exc]])</f>
        <v>4.1841004184100415E-3</v>
      </c>
      <c r="Q252" s="105" t="str">
        <f>OB_Act[[#This Row],[Day]]&amp;OB_Act[[#This Row],[Dump Truck]]&amp;OB_Act[[#This Row],[Pit]]&amp;OB_Act[[#This Row],[Shift]]</f>
        <v/>
      </c>
      <c r="R252" s="126">
        <f>1/COUNTIF(OB_Act[Dummy_DT],OB_Act[[#This Row],[Dummy_DT]])</f>
        <v>4.1841004184100415E-3</v>
      </c>
      <c r="S252" s="126">
        <f>OB_Act[[#This Row],[Distance (Meter)]]*OB_Act[[#This Row],[Volume (BCM)]]</f>
        <v>0</v>
      </c>
      <c r="T252" s="105" t="str">
        <f>OB_Act[[#This Row],[Day]]&amp;OB_Act[[#This Row],[Dump Truck]]&amp;OB_Act[[#This Row],[Contractor]]&amp;OB_Act[[#This Row],[Excavator]]&amp;OB_Act[[#This Row],[Shift]]</f>
        <v/>
      </c>
      <c r="U252" s="126">
        <f>1/COUNTIF(OB_Act[Dummy_DT/Exc],OB_Act[[#This Row],[Dummy_DT/Exc]])</f>
        <v>4.1841004184100415E-3</v>
      </c>
      <c r="V252" s="126" t="e">
        <f>VLOOKUP(OB_Act[[#This Row],[Day]],$AO$2:$AR$32,4,0)</f>
        <v>#N/A</v>
      </c>
      <c r="W252" s="126" t="e">
        <f>VLOOKUP(OB_Act[[#This Row],[Dump Area]],$AE$2:$AF$51,2,0)</f>
        <v>#N/A</v>
      </c>
      <c r="X252" s="126" t="str">
        <f>OB_Act[[#This Row],[Excavator]]&amp;OB_Act[[#This Row],[Contractor]]</f>
        <v/>
      </c>
      <c r="Y252" s="126" t="e">
        <f>IF(OB_Act[[#This Row],[Material]]="MUD",VLOOKUP(OB_Act[[#This Row],[Dump Truck]],Type_mud[[Nama DT]:[Type]],2,0),VLOOKUP(OB_Act[[#This Row],[Dump Truck]],Type_DT_OB[[Nama DT]:[Type]],4,0))</f>
        <v>#N/A</v>
      </c>
      <c r="Z252" s="126" t="e">
        <f>"JBG-OP1-CENTRAL-"&amp;VLOOKUP(OB_Act[[#This Row],[Pit]],$AK$2:$AL$9,2,0)&amp;"-WASTE-"&amp;OB_Act[[#This Row],[Material]]</f>
        <v>#N/A</v>
      </c>
      <c r="AA252" s="126" t="e">
        <f>"JBG-DUMP1-"&amp;VLOOKUP(OB_Act[[#This Row],[Dump]],$AF$2:$AG$55,2,0)&amp;"-"&amp;OB_Act[[#This Row],[Material]]</f>
        <v>#N/A</v>
      </c>
      <c r="AB252" s="126" t="str">
        <f>"JBG-"&amp;OB_Act[[#This Row],[Material]]</f>
        <v>JBG-</v>
      </c>
    </row>
    <row r="253" spans="13:28">
      <c r="M253" s="105">
        <f>OB_Act[[#This Row],[Volume (BCM)]]*OB_Act[[#This Row],[Distance (Meter)]]</f>
        <v>0</v>
      </c>
      <c r="N253" s="105" t="str">
        <f>LEFT(OB_Act[[#This Row],[Dump Truck]],3)</f>
        <v/>
      </c>
      <c r="O253" s="126" t="str">
        <f>OB_Act[[#This Row],[Day]]&amp;OB_Act[[#This Row],[Excavator]]&amp;OB_Act[[#This Row],[Contractor]]&amp;OB_Act[[#This Row],[Pit]]&amp;OB_Act[[#This Row],[Shift]]</f>
        <v/>
      </c>
      <c r="P253" s="126">
        <f>1/COUNTIF(OB_Act[Dummy_Exc],OB_Act[[#This Row],[Dummy_Exc]])</f>
        <v>4.1841004184100415E-3</v>
      </c>
      <c r="Q253" s="105" t="str">
        <f>OB_Act[[#This Row],[Day]]&amp;OB_Act[[#This Row],[Dump Truck]]&amp;OB_Act[[#This Row],[Pit]]&amp;OB_Act[[#This Row],[Shift]]</f>
        <v/>
      </c>
      <c r="R253" s="126">
        <f>1/COUNTIF(OB_Act[Dummy_DT],OB_Act[[#This Row],[Dummy_DT]])</f>
        <v>4.1841004184100415E-3</v>
      </c>
      <c r="S253" s="126">
        <f>OB_Act[[#This Row],[Distance (Meter)]]*OB_Act[[#This Row],[Volume (BCM)]]</f>
        <v>0</v>
      </c>
      <c r="T253" s="105" t="str">
        <f>OB_Act[[#This Row],[Day]]&amp;OB_Act[[#This Row],[Dump Truck]]&amp;OB_Act[[#This Row],[Contractor]]&amp;OB_Act[[#This Row],[Excavator]]&amp;OB_Act[[#This Row],[Shift]]</f>
        <v/>
      </c>
      <c r="U253" s="126">
        <f>1/COUNTIF(OB_Act[Dummy_DT/Exc],OB_Act[[#This Row],[Dummy_DT/Exc]])</f>
        <v>4.1841004184100415E-3</v>
      </c>
      <c r="V253" s="126" t="e">
        <f>VLOOKUP(OB_Act[[#This Row],[Day]],$AO$2:$AR$32,4,0)</f>
        <v>#N/A</v>
      </c>
      <c r="W253" s="126" t="e">
        <f>VLOOKUP(OB_Act[[#This Row],[Dump Area]],$AE$2:$AF$51,2,0)</f>
        <v>#N/A</v>
      </c>
      <c r="X253" s="126" t="str">
        <f>OB_Act[[#This Row],[Excavator]]&amp;OB_Act[[#This Row],[Contractor]]</f>
        <v/>
      </c>
      <c r="Y253" s="126" t="e">
        <f>IF(OB_Act[[#This Row],[Material]]="MUD",VLOOKUP(OB_Act[[#This Row],[Dump Truck]],Type_mud[[Nama DT]:[Type]],2,0),VLOOKUP(OB_Act[[#This Row],[Dump Truck]],Type_DT_OB[[Nama DT]:[Type]],4,0))</f>
        <v>#N/A</v>
      </c>
      <c r="Z253" s="126" t="e">
        <f>"JBG-OP1-CENTRAL-"&amp;VLOOKUP(OB_Act[[#This Row],[Pit]],$AK$2:$AL$9,2,0)&amp;"-WASTE-"&amp;OB_Act[[#This Row],[Material]]</f>
        <v>#N/A</v>
      </c>
      <c r="AA253" s="126" t="e">
        <f>"JBG-DUMP1-"&amp;VLOOKUP(OB_Act[[#This Row],[Dump]],$AF$2:$AG$55,2,0)&amp;"-"&amp;OB_Act[[#This Row],[Material]]</f>
        <v>#N/A</v>
      </c>
      <c r="AB253" s="126" t="str">
        <f>"JBG-"&amp;OB_Act[[#This Row],[Material]]</f>
        <v>JBG-</v>
      </c>
    </row>
    <row r="254" spans="13:28">
      <c r="M254" s="105">
        <f>OB_Act[[#This Row],[Volume (BCM)]]*OB_Act[[#This Row],[Distance (Meter)]]</f>
        <v>0</v>
      </c>
      <c r="N254" s="105" t="str">
        <f>LEFT(OB_Act[[#This Row],[Dump Truck]],3)</f>
        <v/>
      </c>
      <c r="O254" s="126" t="str">
        <f>OB_Act[[#This Row],[Day]]&amp;OB_Act[[#This Row],[Excavator]]&amp;OB_Act[[#This Row],[Contractor]]&amp;OB_Act[[#This Row],[Pit]]&amp;OB_Act[[#This Row],[Shift]]</f>
        <v/>
      </c>
      <c r="P254" s="126">
        <f>1/COUNTIF(OB_Act[Dummy_Exc],OB_Act[[#This Row],[Dummy_Exc]])</f>
        <v>4.1841004184100415E-3</v>
      </c>
      <c r="Q254" s="105" t="str">
        <f>OB_Act[[#This Row],[Day]]&amp;OB_Act[[#This Row],[Dump Truck]]&amp;OB_Act[[#This Row],[Pit]]&amp;OB_Act[[#This Row],[Shift]]</f>
        <v/>
      </c>
      <c r="R254" s="126">
        <f>1/COUNTIF(OB_Act[Dummy_DT],OB_Act[[#This Row],[Dummy_DT]])</f>
        <v>4.1841004184100415E-3</v>
      </c>
      <c r="S254" s="126">
        <f>OB_Act[[#This Row],[Distance (Meter)]]*OB_Act[[#This Row],[Volume (BCM)]]</f>
        <v>0</v>
      </c>
      <c r="T254" s="105" t="str">
        <f>OB_Act[[#This Row],[Day]]&amp;OB_Act[[#This Row],[Dump Truck]]&amp;OB_Act[[#This Row],[Contractor]]&amp;OB_Act[[#This Row],[Excavator]]&amp;OB_Act[[#This Row],[Shift]]</f>
        <v/>
      </c>
      <c r="U254" s="126">
        <f>1/COUNTIF(OB_Act[Dummy_DT/Exc],OB_Act[[#This Row],[Dummy_DT/Exc]])</f>
        <v>4.1841004184100415E-3</v>
      </c>
      <c r="V254" s="126" t="e">
        <f>VLOOKUP(OB_Act[[#This Row],[Day]],$AO$2:$AR$32,4,0)</f>
        <v>#N/A</v>
      </c>
      <c r="W254" s="126" t="e">
        <f>VLOOKUP(OB_Act[[#This Row],[Dump Area]],$AE$2:$AF$51,2,0)</f>
        <v>#N/A</v>
      </c>
      <c r="X254" s="126" t="str">
        <f>OB_Act[[#This Row],[Excavator]]&amp;OB_Act[[#This Row],[Contractor]]</f>
        <v/>
      </c>
      <c r="Y254" s="126" t="e">
        <f>IF(OB_Act[[#This Row],[Material]]="MUD",VLOOKUP(OB_Act[[#This Row],[Dump Truck]],Type_mud[[Nama DT]:[Type]],2,0),VLOOKUP(OB_Act[[#This Row],[Dump Truck]],Type_DT_OB[[Nama DT]:[Type]],4,0))</f>
        <v>#N/A</v>
      </c>
      <c r="Z254" s="126" t="e">
        <f>"JBG-OP1-CENTRAL-"&amp;VLOOKUP(OB_Act[[#This Row],[Pit]],$AK$2:$AL$9,2,0)&amp;"-WASTE-"&amp;OB_Act[[#This Row],[Material]]</f>
        <v>#N/A</v>
      </c>
      <c r="AA254" s="126" t="e">
        <f>"JBG-DUMP1-"&amp;VLOOKUP(OB_Act[[#This Row],[Dump]],$AF$2:$AG$55,2,0)&amp;"-"&amp;OB_Act[[#This Row],[Material]]</f>
        <v>#N/A</v>
      </c>
      <c r="AB254" s="126" t="str">
        <f>"JBG-"&amp;OB_Act[[#This Row],[Material]]</f>
        <v>JBG-</v>
      </c>
    </row>
    <row r="255" spans="13:28">
      <c r="M255" s="105">
        <f>OB_Act[[#This Row],[Volume (BCM)]]*OB_Act[[#This Row],[Distance (Meter)]]</f>
        <v>0</v>
      </c>
      <c r="N255" s="105" t="str">
        <f>LEFT(OB_Act[[#This Row],[Dump Truck]],3)</f>
        <v/>
      </c>
      <c r="O255" s="126" t="str">
        <f>OB_Act[[#This Row],[Day]]&amp;OB_Act[[#This Row],[Excavator]]&amp;OB_Act[[#This Row],[Contractor]]&amp;OB_Act[[#This Row],[Pit]]&amp;OB_Act[[#This Row],[Shift]]</f>
        <v/>
      </c>
      <c r="P255" s="126">
        <f>1/COUNTIF(OB_Act[Dummy_Exc],OB_Act[[#This Row],[Dummy_Exc]])</f>
        <v>4.1841004184100415E-3</v>
      </c>
      <c r="Q255" s="105" t="str">
        <f>OB_Act[[#This Row],[Day]]&amp;OB_Act[[#This Row],[Dump Truck]]&amp;OB_Act[[#This Row],[Pit]]&amp;OB_Act[[#This Row],[Shift]]</f>
        <v/>
      </c>
      <c r="R255" s="126">
        <f>1/COUNTIF(OB_Act[Dummy_DT],OB_Act[[#This Row],[Dummy_DT]])</f>
        <v>4.1841004184100415E-3</v>
      </c>
      <c r="S255" s="126">
        <f>OB_Act[[#This Row],[Distance (Meter)]]*OB_Act[[#This Row],[Volume (BCM)]]</f>
        <v>0</v>
      </c>
      <c r="T255" s="105" t="str">
        <f>OB_Act[[#This Row],[Day]]&amp;OB_Act[[#This Row],[Dump Truck]]&amp;OB_Act[[#This Row],[Contractor]]&amp;OB_Act[[#This Row],[Excavator]]&amp;OB_Act[[#This Row],[Shift]]</f>
        <v/>
      </c>
      <c r="U255" s="126">
        <f>1/COUNTIF(OB_Act[Dummy_DT/Exc],OB_Act[[#This Row],[Dummy_DT/Exc]])</f>
        <v>4.1841004184100415E-3</v>
      </c>
      <c r="V255" s="126" t="e">
        <f>VLOOKUP(OB_Act[[#This Row],[Day]],$AO$2:$AR$32,4,0)</f>
        <v>#N/A</v>
      </c>
      <c r="W255" s="126" t="e">
        <f>VLOOKUP(OB_Act[[#This Row],[Dump Area]],$AE$2:$AF$51,2,0)</f>
        <v>#N/A</v>
      </c>
      <c r="X255" s="126" t="str">
        <f>OB_Act[[#This Row],[Excavator]]&amp;OB_Act[[#This Row],[Contractor]]</f>
        <v/>
      </c>
      <c r="Y255" s="126" t="e">
        <f>IF(OB_Act[[#This Row],[Material]]="MUD",VLOOKUP(OB_Act[[#This Row],[Dump Truck]],Type_mud[[Nama DT]:[Type]],2,0),VLOOKUP(OB_Act[[#This Row],[Dump Truck]],Type_DT_OB[[Nama DT]:[Type]],4,0))</f>
        <v>#N/A</v>
      </c>
      <c r="Z255" s="126" t="e">
        <f>"JBG-OP1-CENTRAL-"&amp;VLOOKUP(OB_Act[[#This Row],[Pit]],$AK$2:$AL$9,2,0)&amp;"-WASTE-"&amp;OB_Act[[#This Row],[Material]]</f>
        <v>#N/A</v>
      </c>
      <c r="AA255" s="126" t="e">
        <f>"JBG-DUMP1-"&amp;VLOOKUP(OB_Act[[#This Row],[Dump]],$AF$2:$AG$55,2,0)&amp;"-"&amp;OB_Act[[#This Row],[Material]]</f>
        <v>#N/A</v>
      </c>
      <c r="AB255" s="126" t="str">
        <f>"JBG-"&amp;OB_Act[[#This Row],[Material]]</f>
        <v>JBG-</v>
      </c>
    </row>
    <row r="256" spans="13:28">
      <c r="M256" s="105">
        <f>OB_Act[[#This Row],[Volume (BCM)]]*OB_Act[[#This Row],[Distance (Meter)]]</f>
        <v>0</v>
      </c>
      <c r="N256" s="105" t="str">
        <f>LEFT(OB_Act[[#This Row],[Dump Truck]],3)</f>
        <v/>
      </c>
      <c r="O256" s="126" t="str">
        <f>OB_Act[[#This Row],[Day]]&amp;OB_Act[[#This Row],[Excavator]]&amp;OB_Act[[#This Row],[Contractor]]&amp;OB_Act[[#This Row],[Pit]]&amp;OB_Act[[#This Row],[Shift]]</f>
        <v/>
      </c>
      <c r="P256" s="126">
        <f>1/COUNTIF(OB_Act[Dummy_Exc],OB_Act[[#This Row],[Dummy_Exc]])</f>
        <v>4.1841004184100415E-3</v>
      </c>
      <c r="Q256" s="105" t="str">
        <f>OB_Act[[#This Row],[Day]]&amp;OB_Act[[#This Row],[Dump Truck]]&amp;OB_Act[[#This Row],[Pit]]&amp;OB_Act[[#This Row],[Shift]]</f>
        <v/>
      </c>
      <c r="R256" s="126">
        <f>1/COUNTIF(OB_Act[Dummy_DT],OB_Act[[#This Row],[Dummy_DT]])</f>
        <v>4.1841004184100415E-3</v>
      </c>
      <c r="S256" s="126">
        <f>OB_Act[[#This Row],[Distance (Meter)]]*OB_Act[[#This Row],[Volume (BCM)]]</f>
        <v>0</v>
      </c>
      <c r="T256" s="105" t="str">
        <f>OB_Act[[#This Row],[Day]]&amp;OB_Act[[#This Row],[Dump Truck]]&amp;OB_Act[[#This Row],[Contractor]]&amp;OB_Act[[#This Row],[Excavator]]&amp;OB_Act[[#This Row],[Shift]]</f>
        <v/>
      </c>
      <c r="U256" s="126">
        <f>1/COUNTIF(OB_Act[Dummy_DT/Exc],OB_Act[[#This Row],[Dummy_DT/Exc]])</f>
        <v>4.1841004184100415E-3</v>
      </c>
      <c r="V256" s="126" t="e">
        <f>VLOOKUP(OB_Act[[#This Row],[Day]],$AO$2:$AR$32,4,0)</f>
        <v>#N/A</v>
      </c>
      <c r="W256" s="126" t="e">
        <f>VLOOKUP(OB_Act[[#This Row],[Dump Area]],$AE$2:$AF$51,2,0)</f>
        <v>#N/A</v>
      </c>
      <c r="X256" s="126" t="str">
        <f>OB_Act[[#This Row],[Excavator]]&amp;OB_Act[[#This Row],[Contractor]]</f>
        <v/>
      </c>
      <c r="Y256" s="126" t="e">
        <f>IF(OB_Act[[#This Row],[Material]]="MUD",VLOOKUP(OB_Act[[#This Row],[Dump Truck]],Type_mud[[Nama DT]:[Type]],2,0),VLOOKUP(OB_Act[[#This Row],[Dump Truck]],Type_DT_OB[[Nama DT]:[Type]],4,0))</f>
        <v>#N/A</v>
      </c>
      <c r="Z256" s="126" t="e">
        <f>"JBG-OP1-CENTRAL-"&amp;VLOOKUP(OB_Act[[#This Row],[Pit]],$AK$2:$AL$9,2,0)&amp;"-WASTE-"&amp;OB_Act[[#This Row],[Material]]</f>
        <v>#N/A</v>
      </c>
      <c r="AA256" s="126" t="e">
        <f>"JBG-DUMP1-"&amp;VLOOKUP(OB_Act[[#This Row],[Dump]],$AF$2:$AG$55,2,0)&amp;"-"&amp;OB_Act[[#This Row],[Material]]</f>
        <v>#N/A</v>
      </c>
      <c r="AB256" s="126" t="str">
        <f>"JBG-"&amp;OB_Act[[#This Row],[Material]]</f>
        <v>JBG-</v>
      </c>
    </row>
    <row r="257" spans="13:28">
      <c r="M257" s="105">
        <f>OB_Act[[#This Row],[Volume (BCM)]]*OB_Act[[#This Row],[Distance (Meter)]]</f>
        <v>0</v>
      </c>
      <c r="N257" s="105" t="str">
        <f>LEFT(OB_Act[[#This Row],[Dump Truck]],3)</f>
        <v/>
      </c>
      <c r="O257" s="126" t="str">
        <f>OB_Act[[#This Row],[Day]]&amp;OB_Act[[#This Row],[Excavator]]&amp;OB_Act[[#This Row],[Contractor]]&amp;OB_Act[[#This Row],[Pit]]&amp;OB_Act[[#This Row],[Shift]]</f>
        <v/>
      </c>
      <c r="P257" s="126">
        <f>1/COUNTIF(OB_Act[Dummy_Exc],OB_Act[[#This Row],[Dummy_Exc]])</f>
        <v>4.1841004184100415E-3</v>
      </c>
      <c r="Q257" s="105" t="str">
        <f>OB_Act[[#This Row],[Day]]&amp;OB_Act[[#This Row],[Dump Truck]]&amp;OB_Act[[#This Row],[Pit]]&amp;OB_Act[[#This Row],[Shift]]</f>
        <v/>
      </c>
      <c r="R257" s="126">
        <f>1/COUNTIF(OB_Act[Dummy_DT],OB_Act[[#This Row],[Dummy_DT]])</f>
        <v>4.1841004184100415E-3</v>
      </c>
      <c r="S257" s="126">
        <f>OB_Act[[#This Row],[Distance (Meter)]]*OB_Act[[#This Row],[Volume (BCM)]]</f>
        <v>0</v>
      </c>
      <c r="T257" s="105" t="str">
        <f>OB_Act[[#This Row],[Day]]&amp;OB_Act[[#This Row],[Dump Truck]]&amp;OB_Act[[#This Row],[Contractor]]&amp;OB_Act[[#This Row],[Excavator]]&amp;OB_Act[[#This Row],[Shift]]</f>
        <v/>
      </c>
      <c r="U257" s="126">
        <f>1/COUNTIF(OB_Act[Dummy_DT/Exc],OB_Act[[#This Row],[Dummy_DT/Exc]])</f>
        <v>4.1841004184100415E-3</v>
      </c>
      <c r="V257" s="126" t="e">
        <f>VLOOKUP(OB_Act[[#This Row],[Day]],$AO$2:$AR$32,4,0)</f>
        <v>#N/A</v>
      </c>
      <c r="W257" s="126" t="e">
        <f>VLOOKUP(OB_Act[[#This Row],[Dump Area]],$AE$2:$AF$51,2,0)</f>
        <v>#N/A</v>
      </c>
      <c r="X257" s="126" t="str">
        <f>OB_Act[[#This Row],[Excavator]]&amp;OB_Act[[#This Row],[Contractor]]</f>
        <v/>
      </c>
      <c r="Y257" s="126" t="e">
        <f>IF(OB_Act[[#This Row],[Material]]="MUD",VLOOKUP(OB_Act[[#This Row],[Dump Truck]],Type_mud[[Nama DT]:[Type]],2,0),VLOOKUP(OB_Act[[#This Row],[Dump Truck]],Type_DT_OB[[Nama DT]:[Type]],4,0))</f>
        <v>#N/A</v>
      </c>
      <c r="Z257" s="126" t="e">
        <f>"JBG-OP1-CENTRAL-"&amp;VLOOKUP(OB_Act[[#This Row],[Pit]],$AK$2:$AL$9,2,0)&amp;"-WASTE-"&amp;OB_Act[[#This Row],[Material]]</f>
        <v>#N/A</v>
      </c>
      <c r="AA257" s="126" t="e">
        <f>"JBG-DUMP1-"&amp;VLOOKUP(OB_Act[[#This Row],[Dump]],$AF$2:$AG$55,2,0)&amp;"-"&amp;OB_Act[[#This Row],[Material]]</f>
        <v>#N/A</v>
      </c>
      <c r="AB257" s="126" t="str">
        <f>"JBG-"&amp;OB_Act[[#This Row],[Material]]</f>
        <v>JBG-</v>
      </c>
    </row>
    <row r="258" spans="13:28">
      <c r="M258" s="105">
        <f>OB_Act[[#This Row],[Volume (BCM)]]*OB_Act[[#This Row],[Distance (Meter)]]</f>
        <v>0</v>
      </c>
      <c r="N258" s="105" t="str">
        <f>LEFT(OB_Act[[#This Row],[Dump Truck]],3)</f>
        <v/>
      </c>
      <c r="O258" s="126" t="str">
        <f>OB_Act[[#This Row],[Day]]&amp;OB_Act[[#This Row],[Excavator]]&amp;OB_Act[[#This Row],[Contractor]]&amp;OB_Act[[#This Row],[Pit]]&amp;OB_Act[[#This Row],[Shift]]</f>
        <v/>
      </c>
      <c r="P258" s="126">
        <f>1/COUNTIF(OB_Act[Dummy_Exc],OB_Act[[#This Row],[Dummy_Exc]])</f>
        <v>4.1841004184100415E-3</v>
      </c>
      <c r="Q258" s="105" t="str">
        <f>OB_Act[[#This Row],[Day]]&amp;OB_Act[[#This Row],[Dump Truck]]&amp;OB_Act[[#This Row],[Pit]]&amp;OB_Act[[#This Row],[Shift]]</f>
        <v/>
      </c>
      <c r="R258" s="126">
        <f>1/COUNTIF(OB_Act[Dummy_DT],OB_Act[[#This Row],[Dummy_DT]])</f>
        <v>4.1841004184100415E-3</v>
      </c>
      <c r="S258" s="126">
        <f>OB_Act[[#This Row],[Distance (Meter)]]*OB_Act[[#This Row],[Volume (BCM)]]</f>
        <v>0</v>
      </c>
      <c r="T258" s="105" t="str">
        <f>OB_Act[[#This Row],[Day]]&amp;OB_Act[[#This Row],[Dump Truck]]&amp;OB_Act[[#This Row],[Contractor]]&amp;OB_Act[[#This Row],[Excavator]]&amp;OB_Act[[#This Row],[Shift]]</f>
        <v/>
      </c>
      <c r="U258" s="126">
        <f>1/COUNTIF(OB_Act[Dummy_DT/Exc],OB_Act[[#This Row],[Dummy_DT/Exc]])</f>
        <v>4.1841004184100415E-3</v>
      </c>
      <c r="V258" s="126" t="e">
        <f>VLOOKUP(OB_Act[[#This Row],[Day]],$AO$2:$AR$32,4,0)</f>
        <v>#N/A</v>
      </c>
      <c r="W258" s="126" t="e">
        <f>VLOOKUP(OB_Act[[#This Row],[Dump Area]],$AE$2:$AF$51,2,0)</f>
        <v>#N/A</v>
      </c>
      <c r="X258" s="126" t="str">
        <f>OB_Act[[#This Row],[Excavator]]&amp;OB_Act[[#This Row],[Contractor]]</f>
        <v/>
      </c>
      <c r="Y258" s="126" t="e">
        <f>IF(OB_Act[[#This Row],[Material]]="MUD",VLOOKUP(OB_Act[[#This Row],[Dump Truck]],Type_mud[[Nama DT]:[Type]],2,0),VLOOKUP(OB_Act[[#This Row],[Dump Truck]],Type_DT_OB[[Nama DT]:[Type]],4,0))</f>
        <v>#N/A</v>
      </c>
      <c r="Z258" s="126" t="e">
        <f>"JBG-OP1-CENTRAL-"&amp;VLOOKUP(OB_Act[[#This Row],[Pit]],$AK$2:$AL$9,2,0)&amp;"-WASTE-"&amp;OB_Act[[#This Row],[Material]]</f>
        <v>#N/A</v>
      </c>
      <c r="AA258" s="126" t="e">
        <f>"JBG-DUMP1-"&amp;VLOOKUP(OB_Act[[#This Row],[Dump]],$AF$2:$AG$55,2,0)&amp;"-"&amp;OB_Act[[#This Row],[Material]]</f>
        <v>#N/A</v>
      </c>
      <c r="AB258" s="126" t="str">
        <f>"JBG-"&amp;OB_Act[[#This Row],[Material]]</f>
        <v>JBG-</v>
      </c>
    </row>
    <row r="259" spans="13:28">
      <c r="M259" s="105">
        <f>OB_Act[[#This Row],[Volume (BCM)]]*OB_Act[[#This Row],[Distance (Meter)]]</f>
        <v>0</v>
      </c>
      <c r="N259" s="105" t="str">
        <f>LEFT(OB_Act[[#This Row],[Dump Truck]],3)</f>
        <v/>
      </c>
      <c r="O259" s="126" t="str">
        <f>OB_Act[[#This Row],[Day]]&amp;OB_Act[[#This Row],[Excavator]]&amp;OB_Act[[#This Row],[Contractor]]&amp;OB_Act[[#This Row],[Pit]]&amp;OB_Act[[#This Row],[Shift]]</f>
        <v/>
      </c>
      <c r="P259" s="126">
        <f>1/COUNTIF(OB_Act[Dummy_Exc],OB_Act[[#This Row],[Dummy_Exc]])</f>
        <v>4.1841004184100415E-3</v>
      </c>
      <c r="Q259" s="105" t="str">
        <f>OB_Act[[#This Row],[Day]]&amp;OB_Act[[#This Row],[Dump Truck]]&amp;OB_Act[[#This Row],[Pit]]&amp;OB_Act[[#This Row],[Shift]]</f>
        <v/>
      </c>
      <c r="R259" s="126">
        <f>1/COUNTIF(OB_Act[Dummy_DT],OB_Act[[#This Row],[Dummy_DT]])</f>
        <v>4.1841004184100415E-3</v>
      </c>
      <c r="S259" s="126">
        <f>OB_Act[[#This Row],[Distance (Meter)]]*OB_Act[[#This Row],[Volume (BCM)]]</f>
        <v>0</v>
      </c>
      <c r="T259" s="105" t="str">
        <f>OB_Act[[#This Row],[Day]]&amp;OB_Act[[#This Row],[Dump Truck]]&amp;OB_Act[[#This Row],[Contractor]]&amp;OB_Act[[#This Row],[Excavator]]&amp;OB_Act[[#This Row],[Shift]]</f>
        <v/>
      </c>
      <c r="U259" s="126">
        <f>1/COUNTIF(OB_Act[Dummy_DT/Exc],OB_Act[[#This Row],[Dummy_DT/Exc]])</f>
        <v>4.1841004184100415E-3</v>
      </c>
      <c r="V259" s="126" t="e">
        <f>VLOOKUP(OB_Act[[#This Row],[Day]],$AO$2:$AR$32,4,0)</f>
        <v>#N/A</v>
      </c>
      <c r="W259" s="126" t="e">
        <f>VLOOKUP(OB_Act[[#This Row],[Dump Area]],$AE$2:$AF$51,2,0)</f>
        <v>#N/A</v>
      </c>
      <c r="X259" s="126" t="str">
        <f>OB_Act[[#This Row],[Excavator]]&amp;OB_Act[[#This Row],[Contractor]]</f>
        <v/>
      </c>
      <c r="Y259" s="126" t="e">
        <f>IF(OB_Act[[#This Row],[Material]]="MUD",VLOOKUP(OB_Act[[#This Row],[Dump Truck]],Type_mud[[Nama DT]:[Type]],2,0),VLOOKUP(OB_Act[[#This Row],[Dump Truck]],Type_DT_OB[[Nama DT]:[Type]],4,0))</f>
        <v>#N/A</v>
      </c>
      <c r="Z259" s="126" t="e">
        <f>"JBG-OP1-CENTRAL-"&amp;VLOOKUP(OB_Act[[#This Row],[Pit]],$AK$2:$AL$9,2,0)&amp;"-WASTE-"&amp;OB_Act[[#This Row],[Material]]</f>
        <v>#N/A</v>
      </c>
      <c r="AA259" s="126" t="e">
        <f>"JBG-DUMP1-"&amp;VLOOKUP(OB_Act[[#This Row],[Dump]],$AF$2:$AG$55,2,0)&amp;"-"&amp;OB_Act[[#This Row],[Material]]</f>
        <v>#N/A</v>
      </c>
      <c r="AB259" s="126" t="str">
        <f>"JBG-"&amp;OB_Act[[#This Row],[Material]]</f>
        <v>JBG-</v>
      </c>
    </row>
    <row r="260" spans="13:28">
      <c r="M260" s="105">
        <f>OB_Act[[#This Row],[Volume (BCM)]]*OB_Act[[#This Row],[Distance (Meter)]]</f>
        <v>0</v>
      </c>
      <c r="N260" s="105" t="str">
        <f>LEFT(OB_Act[[#This Row],[Dump Truck]],3)</f>
        <v/>
      </c>
      <c r="O260" s="126" t="str">
        <f>OB_Act[[#This Row],[Day]]&amp;OB_Act[[#This Row],[Excavator]]&amp;OB_Act[[#This Row],[Contractor]]&amp;OB_Act[[#This Row],[Pit]]&amp;OB_Act[[#This Row],[Shift]]</f>
        <v/>
      </c>
      <c r="P260" s="126">
        <f>1/COUNTIF(OB_Act[Dummy_Exc],OB_Act[[#This Row],[Dummy_Exc]])</f>
        <v>4.1841004184100415E-3</v>
      </c>
      <c r="Q260" s="105" t="str">
        <f>OB_Act[[#This Row],[Day]]&amp;OB_Act[[#This Row],[Dump Truck]]&amp;OB_Act[[#This Row],[Pit]]&amp;OB_Act[[#This Row],[Shift]]</f>
        <v/>
      </c>
      <c r="R260" s="126">
        <f>1/COUNTIF(OB_Act[Dummy_DT],OB_Act[[#This Row],[Dummy_DT]])</f>
        <v>4.1841004184100415E-3</v>
      </c>
      <c r="S260" s="126">
        <f>OB_Act[[#This Row],[Distance (Meter)]]*OB_Act[[#This Row],[Volume (BCM)]]</f>
        <v>0</v>
      </c>
      <c r="T260" s="105" t="str">
        <f>OB_Act[[#This Row],[Day]]&amp;OB_Act[[#This Row],[Dump Truck]]&amp;OB_Act[[#This Row],[Contractor]]&amp;OB_Act[[#This Row],[Excavator]]&amp;OB_Act[[#This Row],[Shift]]</f>
        <v/>
      </c>
      <c r="U260" s="126">
        <f>1/COUNTIF(OB_Act[Dummy_DT/Exc],OB_Act[[#This Row],[Dummy_DT/Exc]])</f>
        <v>4.1841004184100415E-3</v>
      </c>
      <c r="V260" s="126" t="e">
        <f>VLOOKUP(OB_Act[[#This Row],[Day]],$AO$2:$AR$32,4,0)</f>
        <v>#N/A</v>
      </c>
      <c r="W260" s="126" t="e">
        <f>VLOOKUP(OB_Act[[#This Row],[Dump Area]],$AE$2:$AF$51,2,0)</f>
        <v>#N/A</v>
      </c>
      <c r="X260" s="126" t="str">
        <f>OB_Act[[#This Row],[Excavator]]&amp;OB_Act[[#This Row],[Contractor]]</f>
        <v/>
      </c>
      <c r="Y260" s="126" t="e">
        <f>IF(OB_Act[[#This Row],[Material]]="MUD",VLOOKUP(OB_Act[[#This Row],[Dump Truck]],Type_mud[[Nama DT]:[Type]],2,0),VLOOKUP(OB_Act[[#This Row],[Dump Truck]],Type_DT_OB[[Nama DT]:[Type]],4,0))</f>
        <v>#N/A</v>
      </c>
      <c r="Z260" s="126" t="e">
        <f>"JBG-OP1-CENTRAL-"&amp;VLOOKUP(OB_Act[[#This Row],[Pit]],$AK$2:$AL$9,2,0)&amp;"-WASTE-"&amp;OB_Act[[#This Row],[Material]]</f>
        <v>#N/A</v>
      </c>
      <c r="AA260" s="126" t="e">
        <f>"JBG-DUMP1-"&amp;VLOOKUP(OB_Act[[#This Row],[Dump]],$AF$2:$AG$55,2,0)&amp;"-"&amp;OB_Act[[#This Row],[Material]]</f>
        <v>#N/A</v>
      </c>
      <c r="AB260" s="126" t="str">
        <f>"JBG-"&amp;OB_Act[[#This Row],[Material]]</f>
        <v>JBG-</v>
      </c>
    </row>
    <row r="261" spans="13:28">
      <c r="M261" s="105">
        <f>OB_Act[[#This Row],[Volume (BCM)]]*OB_Act[[#This Row],[Distance (Meter)]]</f>
        <v>0</v>
      </c>
      <c r="N261" s="105" t="str">
        <f>LEFT(OB_Act[[#This Row],[Dump Truck]],3)</f>
        <v/>
      </c>
      <c r="O261" s="126" t="str">
        <f>OB_Act[[#This Row],[Day]]&amp;OB_Act[[#This Row],[Excavator]]&amp;OB_Act[[#This Row],[Contractor]]&amp;OB_Act[[#This Row],[Pit]]&amp;OB_Act[[#This Row],[Shift]]</f>
        <v/>
      </c>
      <c r="P261" s="126">
        <f>1/COUNTIF(OB_Act[Dummy_Exc],OB_Act[[#This Row],[Dummy_Exc]])</f>
        <v>4.1841004184100415E-3</v>
      </c>
      <c r="Q261" s="105" t="str">
        <f>OB_Act[[#This Row],[Day]]&amp;OB_Act[[#This Row],[Dump Truck]]&amp;OB_Act[[#This Row],[Pit]]&amp;OB_Act[[#This Row],[Shift]]</f>
        <v/>
      </c>
      <c r="R261" s="126">
        <f>1/COUNTIF(OB_Act[Dummy_DT],OB_Act[[#This Row],[Dummy_DT]])</f>
        <v>4.1841004184100415E-3</v>
      </c>
      <c r="S261" s="126">
        <f>OB_Act[[#This Row],[Distance (Meter)]]*OB_Act[[#This Row],[Volume (BCM)]]</f>
        <v>0</v>
      </c>
      <c r="T261" s="105" t="str">
        <f>OB_Act[[#This Row],[Day]]&amp;OB_Act[[#This Row],[Dump Truck]]&amp;OB_Act[[#This Row],[Contractor]]&amp;OB_Act[[#This Row],[Excavator]]&amp;OB_Act[[#This Row],[Shift]]</f>
        <v/>
      </c>
      <c r="U261" s="126">
        <f>1/COUNTIF(OB_Act[Dummy_DT/Exc],OB_Act[[#This Row],[Dummy_DT/Exc]])</f>
        <v>4.1841004184100415E-3</v>
      </c>
      <c r="V261" s="126" t="e">
        <f>VLOOKUP(OB_Act[[#This Row],[Day]],$AO$2:$AR$32,4,0)</f>
        <v>#N/A</v>
      </c>
      <c r="W261" s="126" t="e">
        <f>VLOOKUP(OB_Act[[#This Row],[Dump Area]],$AE$2:$AF$51,2,0)</f>
        <v>#N/A</v>
      </c>
      <c r="X261" s="126" t="str">
        <f>OB_Act[[#This Row],[Excavator]]&amp;OB_Act[[#This Row],[Contractor]]</f>
        <v/>
      </c>
      <c r="Y261" s="126" t="e">
        <f>IF(OB_Act[[#This Row],[Material]]="MUD",VLOOKUP(OB_Act[[#This Row],[Dump Truck]],Type_mud[[Nama DT]:[Type]],2,0),VLOOKUP(OB_Act[[#This Row],[Dump Truck]],Type_DT_OB[[Nama DT]:[Type]],4,0))</f>
        <v>#N/A</v>
      </c>
      <c r="Z261" s="126" t="e">
        <f>"JBG-OP1-CENTRAL-"&amp;VLOOKUP(OB_Act[[#This Row],[Pit]],$AK$2:$AL$9,2,0)&amp;"-WASTE-"&amp;OB_Act[[#This Row],[Material]]</f>
        <v>#N/A</v>
      </c>
      <c r="AA261" s="126" t="e">
        <f>"JBG-DUMP1-"&amp;VLOOKUP(OB_Act[[#This Row],[Dump]],$AF$2:$AG$55,2,0)&amp;"-"&amp;OB_Act[[#This Row],[Material]]</f>
        <v>#N/A</v>
      </c>
      <c r="AB261" s="126" t="str">
        <f>"JBG-"&amp;OB_Act[[#This Row],[Material]]</f>
        <v>JBG-</v>
      </c>
    </row>
    <row r="262" spans="13:28">
      <c r="M262" s="105">
        <f>OB_Act[[#This Row],[Volume (BCM)]]*OB_Act[[#This Row],[Distance (Meter)]]</f>
        <v>0</v>
      </c>
      <c r="N262" s="105" t="str">
        <f>LEFT(OB_Act[[#This Row],[Dump Truck]],3)</f>
        <v/>
      </c>
      <c r="O262" s="126" t="str">
        <f>OB_Act[[#This Row],[Day]]&amp;OB_Act[[#This Row],[Excavator]]&amp;OB_Act[[#This Row],[Contractor]]&amp;OB_Act[[#This Row],[Pit]]&amp;OB_Act[[#This Row],[Shift]]</f>
        <v/>
      </c>
      <c r="P262" s="126">
        <f>1/COUNTIF(OB_Act[Dummy_Exc],OB_Act[[#This Row],[Dummy_Exc]])</f>
        <v>4.1841004184100415E-3</v>
      </c>
      <c r="Q262" s="105" t="str">
        <f>OB_Act[[#This Row],[Day]]&amp;OB_Act[[#This Row],[Dump Truck]]&amp;OB_Act[[#This Row],[Pit]]&amp;OB_Act[[#This Row],[Shift]]</f>
        <v/>
      </c>
      <c r="R262" s="126">
        <f>1/COUNTIF(OB_Act[Dummy_DT],OB_Act[[#This Row],[Dummy_DT]])</f>
        <v>4.1841004184100415E-3</v>
      </c>
      <c r="S262" s="126">
        <f>OB_Act[[#This Row],[Distance (Meter)]]*OB_Act[[#This Row],[Volume (BCM)]]</f>
        <v>0</v>
      </c>
      <c r="T262" s="105" t="str">
        <f>OB_Act[[#This Row],[Day]]&amp;OB_Act[[#This Row],[Dump Truck]]&amp;OB_Act[[#This Row],[Contractor]]&amp;OB_Act[[#This Row],[Excavator]]&amp;OB_Act[[#This Row],[Shift]]</f>
        <v/>
      </c>
      <c r="U262" s="126">
        <f>1/COUNTIF(OB_Act[Dummy_DT/Exc],OB_Act[[#This Row],[Dummy_DT/Exc]])</f>
        <v>4.1841004184100415E-3</v>
      </c>
      <c r="V262" s="126" t="e">
        <f>VLOOKUP(OB_Act[[#This Row],[Day]],$AO$2:$AR$32,4,0)</f>
        <v>#N/A</v>
      </c>
      <c r="W262" s="126" t="e">
        <f>VLOOKUP(OB_Act[[#This Row],[Dump Area]],$AE$2:$AF$51,2,0)</f>
        <v>#N/A</v>
      </c>
      <c r="X262" s="126" t="str">
        <f>OB_Act[[#This Row],[Excavator]]&amp;OB_Act[[#This Row],[Contractor]]</f>
        <v/>
      </c>
      <c r="Y262" s="126" t="e">
        <f>IF(OB_Act[[#This Row],[Material]]="MUD",VLOOKUP(OB_Act[[#This Row],[Dump Truck]],Type_mud[[Nama DT]:[Type]],2,0),VLOOKUP(OB_Act[[#This Row],[Dump Truck]],Type_DT_OB[[Nama DT]:[Type]],4,0))</f>
        <v>#N/A</v>
      </c>
      <c r="Z262" s="126" t="e">
        <f>"JBG-OP1-CENTRAL-"&amp;VLOOKUP(OB_Act[[#This Row],[Pit]],$AK$2:$AL$9,2,0)&amp;"-WASTE-"&amp;OB_Act[[#This Row],[Material]]</f>
        <v>#N/A</v>
      </c>
      <c r="AA262" s="126" t="e">
        <f>"JBG-DUMP1-"&amp;VLOOKUP(OB_Act[[#This Row],[Dump]],$AF$2:$AG$55,2,0)&amp;"-"&amp;OB_Act[[#This Row],[Material]]</f>
        <v>#N/A</v>
      </c>
      <c r="AB262" s="126" t="str">
        <f>"JBG-"&amp;OB_Act[[#This Row],[Material]]</f>
        <v>JBG-</v>
      </c>
    </row>
    <row r="263" spans="13:28">
      <c r="M263" s="105">
        <f>OB_Act[[#This Row],[Volume (BCM)]]*OB_Act[[#This Row],[Distance (Meter)]]</f>
        <v>0</v>
      </c>
      <c r="N263" s="105" t="str">
        <f>LEFT(OB_Act[[#This Row],[Dump Truck]],3)</f>
        <v/>
      </c>
      <c r="O263" s="126" t="str">
        <f>OB_Act[[#This Row],[Day]]&amp;OB_Act[[#This Row],[Excavator]]&amp;OB_Act[[#This Row],[Contractor]]&amp;OB_Act[[#This Row],[Pit]]&amp;OB_Act[[#This Row],[Shift]]</f>
        <v/>
      </c>
      <c r="P263" s="126">
        <f>1/COUNTIF(OB_Act[Dummy_Exc],OB_Act[[#This Row],[Dummy_Exc]])</f>
        <v>4.1841004184100415E-3</v>
      </c>
      <c r="Q263" s="105" t="str">
        <f>OB_Act[[#This Row],[Day]]&amp;OB_Act[[#This Row],[Dump Truck]]&amp;OB_Act[[#This Row],[Pit]]&amp;OB_Act[[#This Row],[Shift]]</f>
        <v/>
      </c>
      <c r="R263" s="126">
        <f>1/COUNTIF(OB_Act[Dummy_DT],OB_Act[[#This Row],[Dummy_DT]])</f>
        <v>4.1841004184100415E-3</v>
      </c>
      <c r="S263" s="126">
        <f>OB_Act[[#This Row],[Distance (Meter)]]*OB_Act[[#This Row],[Volume (BCM)]]</f>
        <v>0</v>
      </c>
      <c r="T263" s="105" t="str">
        <f>OB_Act[[#This Row],[Day]]&amp;OB_Act[[#This Row],[Dump Truck]]&amp;OB_Act[[#This Row],[Contractor]]&amp;OB_Act[[#This Row],[Excavator]]&amp;OB_Act[[#This Row],[Shift]]</f>
        <v/>
      </c>
      <c r="U263" s="126">
        <f>1/COUNTIF(OB_Act[Dummy_DT/Exc],OB_Act[[#This Row],[Dummy_DT/Exc]])</f>
        <v>4.1841004184100415E-3</v>
      </c>
      <c r="V263" s="126" t="e">
        <f>VLOOKUP(OB_Act[[#This Row],[Day]],$AO$2:$AR$32,4,0)</f>
        <v>#N/A</v>
      </c>
      <c r="W263" s="126" t="e">
        <f>VLOOKUP(OB_Act[[#This Row],[Dump Area]],$AE$2:$AF$51,2,0)</f>
        <v>#N/A</v>
      </c>
      <c r="X263" s="126" t="str">
        <f>OB_Act[[#This Row],[Excavator]]&amp;OB_Act[[#This Row],[Contractor]]</f>
        <v/>
      </c>
      <c r="Y263" s="126" t="e">
        <f>IF(OB_Act[[#This Row],[Material]]="MUD",VLOOKUP(OB_Act[[#This Row],[Dump Truck]],Type_mud[[Nama DT]:[Type]],2,0),VLOOKUP(OB_Act[[#This Row],[Dump Truck]],Type_DT_OB[[Nama DT]:[Type]],4,0))</f>
        <v>#N/A</v>
      </c>
      <c r="Z263" s="126" t="e">
        <f>"JBG-OP1-CENTRAL-"&amp;VLOOKUP(OB_Act[[#This Row],[Pit]],$AK$2:$AL$9,2,0)&amp;"-WASTE-"&amp;OB_Act[[#This Row],[Material]]</f>
        <v>#N/A</v>
      </c>
      <c r="AA263" s="126" t="e">
        <f>"JBG-DUMP1-"&amp;VLOOKUP(OB_Act[[#This Row],[Dump]],$AF$2:$AG$55,2,0)&amp;"-"&amp;OB_Act[[#This Row],[Material]]</f>
        <v>#N/A</v>
      </c>
      <c r="AB263" s="126" t="str">
        <f>"JBG-"&amp;OB_Act[[#This Row],[Material]]</f>
        <v>JBG-</v>
      </c>
    </row>
    <row r="264" spans="13:28">
      <c r="M264" s="105">
        <f>OB_Act[[#This Row],[Volume (BCM)]]*OB_Act[[#This Row],[Distance (Meter)]]</f>
        <v>0</v>
      </c>
      <c r="N264" s="105" t="str">
        <f>LEFT(OB_Act[[#This Row],[Dump Truck]],3)</f>
        <v/>
      </c>
      <c r="O264" s="126" t="str">
        <f>OB_Act[[#This Row],[Day]]&amp;OB_Act[[#This Row],[Excavator]]&amp;OB_Act[[#This Row],[Contractor]]&amp;OB_Act[[#This Row],[Pit]]&amp;OB_Act[[#This Row],[Shift]]</f>
        <v/>
      </c>
      <c r="P264" s="126">
        <f>1/COUNTIF(OB_Act[Dummy_Exc],OB_Act[[#This Row],[Dummy_Exc]])</f>
        <v>4.1841004184100415E-3</v>
      </c>
      <c r="Q264" s="105" t="str">
        <f>OB_Act[[#This Row],[Day]]&amp;OB_Act[[#This Row],[Dump Truck]]&amp;OB_Act[[#This Row],[Pit]]&amp;OB_Act[[#This Row],[Shift]]</f>
        <v/>
      </c>
      <c r="R264" s="126">
        <f>1/COUNTIF(OB_Act[Dummy_DT],OB_Act[[#This Row],[Dummy_DT]])</f>
        <v>4.1841004184100415E-3</v>
      </c>
      <c r="S264" s="126">
        <f>OB_Act[[#This Row],[Distance (Meter)]]*OB_Act[[#This Row],[Volume (BCM)]]</f>
        <v>0</v>
      </c>
      <c r="T264" s="105" t="str">
        <f>OB_Act[[#This Row],[Day]]&amp;OB_Act[[#This Row],[Dump Truck]]&amp;OB_Act[[#This Row],[Contractor]]&amp;OB_Act[[#This Row],[Excavator]]&amp;OB_Act[[#This Row],[Shift]]</f>
        <v/>
      </c>
      <c r="U264" s="126">
        <f>1/COUNTIF(OB_Act[Dummy_DT/Exc],OB_Act[[#This Row],[Dummy_DT/Exc]])</f>
        <v>4.1841004184100415E-3</v>
      </c>
      <c r="V264" s="126" t="e">
        <f>VLOOKUP(OB_Act[[#This Row],[Day]],$AO$2:$AR$32,4,0)</f>
        <v>#N/A</v>
      </c>
      <c r="W264" s="126" t="e">
        <f>VLOOKUP(OB_Act[[#This Row],[Dump Area]],$AE$2:$AF$51,2,0)</f>
        <v>#N/A</v>
      </c>
      <c r="X264" s="126" t="str">
        <f>OB_Act[[#This Row],[Excavator]]&amp;OB_Act[[#This Row],[Contractor]]</f>
        <v/>
      </c>
      <c r="Y264" s="126" t="e">
        <f>IF(OB_Act[[#This Row],[Material]]="MUD",VLOOKUP(OB_Act[[#This Row],[Dump Truck]],Type_mud[[Nama DT]:[Type]],2,0),VLOOKUP(OB_Act[[#This Row],[Dump Truck]],Type_DT_OB[[Nama DT]:[Type]],4,0))</f>
        <v>#N/A</v>
      </c>
      <c r="Z264" s="126" t="e">
        <f>"JBG-OP1-CENTRAL-"&amp;VLOOKUP(OB_Act[[#This Row],[Pit]],$AK$2:$AL$9,2,0)&amp;"-WASTE-"&amp;OB_Act[[#This Row],[Material]]</f>
        <v>#N/A</v>
      </c>
      <c r="AA264" s="126" t="e">
        <f>"JBG-DUMP1-"&amp;VLOOKUP(OB_Act[[#This Row],[Dump]],$AF$2:$AG$55,2,0)&amp;"-"&amp;OB_Act[[#This Row],[Material]]</f>
        <v>#N/A</v>
      </c>
      <c r="AB264" s="126" t="str">
        <f>"JBG-"&amp;OB_Act[[#This Row],[Material]]</f>
        <v>JBG-</v>
      </c>
    </row>
    <row r="265" spans="13:28">
      <c r="M265" s="105">
        <f>OB_Act[[#This Row],[Volume (BCM)]]*OB_Act[[#This Row],[Distance (Meter)]]</f>
        <v>0</v>
      </c>
      <c r="N265" s="105" t="str">
        <f>LEFT(OB_Act[[#This Row],[Dump Truck]],3)</f>
        <v/>
      </c>
      <c r="O265" s="126" t="str">
        <f>OB_Act[[#This Row],[Day]]&amp;OB_Act[[#This Row],[Excavator]]&amp;OB_Act[[#This Row],[Contractor]]&amp;OB_Act[[#This Row],[Pit]]&amp;OB_Act[[#This Row],[Shift]]</f>
        <v/>
      </c>
      <c r="P265" s="126">
        <f>1/COUNTIF(OB_Act[Dummy_Exc],OB_Act[[#This Row],[Dummy_Exc]])</f>
        <v>4.1841004184100415E-3</v>
      </c>
      <c r="Q265" s="105" t="str">
        <f>OB_Act[[#This Row],[Day]]&amp;OB_Act[[#This Row],[Dump Truck]]&amp;OB_Act[[#This Row],[Pit]]&amp;OB_Act[[#This Row],[Shift]]</f>
        <v/>
      </c>
      <c r="R265" s="126">
        <f>1/COUNTIF(OB_Act[Dummy_DT],OB_Act[[#This Row],[Dummy_DT]])</f>
        <v>4.1841004184100415E-3</v>
      </c>
      <c r="S265" s="126">
        <f>OB_Act[[#This Row],[Distance (Meter)]]*OB_Act[[#This Row],[Volume (BCM)]]</f>
        <v>0</v>
      </c>
      <c r="T265" s="105" t="str">
        <f>OB_Act[[#This Row],[Day]]&amp;OB_Act[[#This Row],[Dump Truck]]&amp;OB_Act[[#This Row],[Contractor]]&amp;OB_Act[[#This Row],[Excavator]]&amp;OB_Act[[#This Row],[Shift]]</f>
        <v/>
      </c>
      <c r="U265" s="126">
        <f>1/COUNTIF(OB_Act[Dummy_DT/Exc],OB_Act[[#This Row],[Dummy_DT/Exc]])</f>
        <v>4.1841004184100415E-3</v>
      </c>
      <c r="V265" s="126" t="e">
        <f>VLOOKUP(OB_Act[[#This Row],[Day]],$AO$2:$AR$32,4,0)</f>
        <v>#N/A</v>
      </c>
      <c r="W265" s="126" t="e">
        <f>VLOOKUP(OB_Act[[#This Row],[Dump Area]],$AE$2:$AF$51,2,0)</f>
        <v>#N/A</v>
      </c>
      <c r="X265" s="126" t="str">
        <f>OB_Act[[#This Row],[Excavator]]&amp;OB_Act[[#This Row],[Contractor]]</f>
        <v/>
      </c>
      <c r="Y265" s="126" t="e">
        <f>IF(OB_Act[[#This Row],[Material]]="MUD",VLOOKUP(OB_Act[[#This Row],[Dump Truck]],Type_mud[[Nama DT]:[Type]],2,0),VLOOKUP(OB_Act[[#This Row],[Dump Truck]],Type_DT_OB[[Nama DT]:[Type]],4,0))</f>
        <v>#N/A</v>
      </c>
      <c r="Z265" s="126" t="e">
        <f>"JBG-OP1-CENTRAL-"&amp;VLOOKUP(OB_Act[[#This Row],[Pit]],$AK$2:$AL$9,2,0)&amp;"-WASTE-"&amp;OB_Act[[#This Row],[Material]]</f>
        <v>#N/A</v>
      </c>
      <c r="AA265" s="126" t="e">
        <f>"JBG-DUMP1-"&amp;VLOOKUP(OB_Act[[#This Row],[Dump]],$AF$2:$AG$55,2,0)&amp;"-"&amp;OB_Act[[#This Row],[Material]]</f>
        <v>#N/A</v>
      </c>
      <c r="AB265" s="126" t="str">
        <f>"JBG-"&amp;OB_Act[[#This Row],[Material]]</f>
        <v>JBG-</v>
      </c>
    </row>
    <row r="266" spans="13:28">
      <c r="M266" s="105">
        <f>OB_Act[[#This Row],[Volume (BCM)]]*OB_Act[[#This Row],[Distance (Meter)]]</f>
        <v>0</v>
      </c>
      <c r="N266" s="105" t="str">
        <f>LEFT(OB_Act[[#This Row],[Dump Truck]],3)</f>
        <v/>
      </c>
      <c r="O266" s="126" t="str">
        <f>OB_Act[[#This Row],[Day]]&amp;OB_Act[[#This Row],[Excavator]]&amp;OB_Act[[#This Row],[Contractor]]&amp;OB_Act[[#This Row],[Pit]]&amp;OB_Act[[#This Row],[Shift]]</f>
        <v/>
      </c>
      <c r="P266" s="126">
        <f>1/COUNTIF(OB_Act[Dummy_Exc],OB_Act[[#This Row],[Dummy_Exc]])</f>
        <v>4.1841004184100415E-3</v>
      </c>
      <c r="Q266" s="105" t="str">
        <f>OB_Act[[#This Row],[Day]]&amp;OB_Act[[#This Row],[Dump Truck]]&amp;OB_Act[[#This Row],[Pit]]&amp;OB_Act[[#This Row],[Shift]]</f>
        <v/>
      </c>
      <c r="R266" s="126">
        <f>1/COUNTIF(OB_Act[Dummy_DT],OB_Act[[#This Row],[Dummy_DT]])</f>
        <v>4.1841004184100415E-3</v>
      </c>
      <c r="S266" s="126">
        <f>OB_Act[[#This Row],[Distance (Meter)]]*OB_Act[[#This Row],[Volume (BCM)]]</f>
        <v>0</v>
      </c>
      <c r="T266" s="105" t="str">
        <f>OB_Act[[#This Row],[Day]]&amp;OB_Act[[#This Row],[Dump Truck]]&amp;OB_Act[[#This Row],[Contractor]]&amp;OB_Act[[#This Row],[Excavator]]&amp;OB_Act[[#This Row],[Shift]]</f>
        <v/>
      </c>
      <c r="U266" s="126">
        <f>1/COUNTIF(OB_Act[Dummy_DT/Exc],OB_Act[[#This Row],[Dummy_DT/Exc]])</f>
        <v>4.1841004184100415E-3</v>
      </c>
      <c r="V266" s="126" t="e">
        <f>VLOOKUP(OB_Act[[#This Row],[Day]],$AO$2:$AR$32,4,0)</f>
        <v>#N/A</v>
      </c>
      <c r="W266" s="126" t="e">
        <f>VLOOKUP(OB_Act[[#This Row],[Dump Area]],$AE$2:$AF$51,2,0)</f>
        <v>#N/A</v>
      </c>
      <c r="X266" s="126" t="str">
        <f>OB_Act[[#This Row],[Excavator]]&amp;OB_Act[[#This Row],[Contractor]]</f>
        <v/>
      </c>
      <c r="Y266" s="126" t="e">
        <f>IF(OB_Act[[#This Row],[Material]]="MUD",VLOOKUP(OB_Act[[#This Row],[Dump Truck]],Type_mud[[Nama DT]:[Type]],2,0),VLOOKUP(OB_Act[[#This Row],[Dump Truck]],Type_DT_OB[[Nama DT]:[Type]],4,0))</f>
        <v>#N/A</v>
      </c>
      <c r="Z266" s="126" t="e">
        <f>"JBG-OP1-CENTRAL-"&amp;VLOOKUP(OB_Act[[#This Row],[Pit]],$AK$2:$AL$9,2,0)&amp;"-WASTE-"&amp;OB_Act[[#This Row],[Material]]</f>
        <v>#N/A</v>
      </c>
      <c r="AA266" s="126" t="e">
        <f>"JBG-DUMP1-"&amp;VLOOKUP(OB_Act[[#This Row],[Dump]],$AF$2:$AG$55,2,0)&amp;"-"&amp;OB_Act[[#This Row],[Material]]</f>
        <v>#N/A</v>
      </c>
      <c r="AB266" s="126" t="str">
        <f>"JBG-"&amp;OB_Act[[#This Row],[Material]]</f>
        <v>JBG-</v>
      </c>
    </row>
    <row r="267" spans="13:28">
      <c r="M267" s="105">
        <f>OB_Act[[#This Row],[Volume (BCM)]]*OB_Act[[#This Row],[Distance (Meter)]]</f>
        <v>0</v>
      </c>
      <c r="N267" s="105" t="str">
        <f>LEFT(OB_Act[[#This Row],[Dump Truck]],3)</f>
        <v/>
      </c>
      <c r="O267" s="126" t="str">
        <f>OB_Act[[#This Row],[Day]]&amp;OB_Act[[#This Row],[Excavator]]&amp;OB_Act[[#This Row],[Contractor]]&amp;OB_Act[[#This Row],[Pit]]&amp;OB_Act[[#This Row],[Shift]]</f>
        <v/>
      </c>
      <c r="P267" s="126">
        <f>1/COUNTIF(OB_Act[Dummy_Exc],OB_Act[[#This Row],[Dummy_Exc]])</f>
        <v>4.1841004184100415E-3</v>
      </c>
      <c r="Q267" s="105" t="str">
        <f>OB_Act[[#This Row],[Day]]&amp;OB_Act[[#This Row],[Dump Truck]]&amp;OB_Act[[#This Row],[Pit]]&amp;OB_Act[[#This Row],[Shift]]</f>
        <v/>
      </c>
      <c r="R267" s="126">
        <f>1/COUNTIF(OB_Act[Dummy_DT],OB_Act[[#This Row],[Dummy_DT]])</f>
        <v>4.1841004184100415E-3</v>
      </c>
      <c r="S267" s="126">
        <f>OB_Act[[#This Row],[Distance (Meter)]]*OB_Act[[#This Row],[Volume (BCM)]]</f>
        <v>0</v>
      </c>
      <c r="T267" s="105" t="str">
        <f>OB_Act[[#This Row],[Day]]&amp;OB_Act[[#This Row],[Dump Truck]]&amp;OB_Act[[#This Row],[Contractor]]&amp;OB_Act[[#This Row],[Excavator]]&amp;OB_Act[[#This Row],[Shift]]</f>
        <v/>
      </c>
      <c r="U267" s="126">
        <f>1/COUNTIF(OB_Act[Dummy_DT/Exc],OB_Act[[#This Row],[Dummy_DT/Exc]])</f>
        <v>4.1841004184100415E-3</v>
      </c>
      <c r="V267" s="126" t="e">
        <f>VLOOKUP(OB_Act[[#This Row],[Day]],$AO$2:$AR$32,4,0)</f>
        <v>#N/A</v>
      </c>
      <c r="W267" s="126" t="e">
        <f>VLOOKUP(OB_Act[[#This Row],[Dump Area]],$AE$2:$AF$51,2,0)</f>
        <v>#N/A</v>
      </c>
      <c r="X267" s="126" t="str">
        <f>OB_Act[[#This Row],[Excavator]]&amp;OB_Act[[#This Row],[Contractor]]</f>
        <v/>
      </c>
      <c r="Y267" s="126" t="e">
        <f>IF(OB_Act[[#This Row],[Material]]="MUD",VLOOKUP(OB_Act[[#This Row],[Dump Truck]],Type_mud[[Nama DT]:[Type]],2,0),VLOOKUP(OB_Act[[#This Row],[Dump Truck]],Type_DT_OB[[Nama DT]:[Type]],4,0))</f>
        <v>#N/A</v>
      </c>
      <c r="Z267" s="126" t="e">
        <f>"JBG-OP1-CENTRAL-"&amp;VLOOKUP(OB_Act[[#This Row],[Pit]],$AK$2:$AL$9,2,0)&amp;"-WASTE-"&amp;OB_Act[[#This Row],[Material]]</f>
        <v>#N/A</v>
      </c>
      <c r="AA267" s="126" t="e">
        <f>"JBG-DUMP1-"&amp;VLOOKUP(OB_Act[[#This Row],[Dump]],$AF$2:$AG$55,2,0)&amp;"-"&amp;OB_Act[[#This Row],[Material]]</f>
        <v>#N/A</v>
      </c>
      <c r="AB267" s="126" t="str">
        <f>"JBG-"&amp;OB_Act[[#This Row],[Material]]</f>
        <v>JBG-</v>
      </c>
    </row>
    <row r="268" spans="13:28">
      <c r="M268" s="105">
        <f>OB_Act[[#This Row],[Volume (BCM)]]*OB_Act[[#This Row],[Distance (Meter)]]</f>
        <v>0</v>
      </c>
      <c r="N268" s="105" t="str">
        <f>LEFT(OB_Act[[#This Row],[Dump Truck]],3)</f>
        <v/>
      </c>
      <c r="O268" s="126" t="str">
        <f>OB_Act[[#This Row],[Day]]&amp;OB_Act[[#This Row],[Excavator]]&amp;OB_Act[[#This Row],[Contractor]]&amp;OB_Act[[#This Row],[Pit]]&amp;OB_Act[[#This Row],[Shift]]</f>
        <v/>
      </c>
      <c r="P268" s="126">
        <f>1/COUNTIF(OB_Act[Dummy_Exc],OB_Act[[#This Row],[Dummy_Exc]])</f>
        <v>4.1841004184100415E-3</v>
      </c>
      <c r="Q268" s="105" t="str">
        <f>OB_Act[[#This Row],[Day]]&amp;OB_Act[[#This Row],[Dump Truck]]&amp;OB_Act[[#This Row],[Pit]]&amp;OB_Act[[#This Row],[Shift]]</f>
        <v/>
      </c>
      <c r="R268" s="126">
        <f>1/COUNTIF(OB_Act[Dummy_DT],OB_Act[[#This Row],[Dummy_DT]])</f>
        <v>4.1841004184100415E-3</v>
      </c>
      <c r="S268" s="126">
        <f>OB_Act[[#This Row],[Distance (Meter)]]*OB_Act[[#This Row],[Volume (BCM)]]</f>
        <v>0</v>
      </c>
      <c r="T268" s="105" t="str">
        <f>OB_Act[[#This Row],[Day]]&amp;OB_Act[[#This Row],[Dump Truck]]&amp;OB_Act[[#This Row],[Contractor]]&amp;OB_Act[[#This Row],[Excavator]]&amp;OB_Act[[#This Row],[Shift]]</f>
        <v/>
      </c>
      <c r="U268" s="126">
        <f>1/COUNTIF(OB_Act[Dummy_DT/Exc],OB_Act[[#This Row],[Dummy_DT/Exc]])</f>
        <v>4.1841004184100415E-3</v>
      </c>
      <c r="V268" s="126" t="e">
        <f>VLOOKUP(OB_Act[[#This Row],[Day]],$AO$2:$AR$32,4,0)</f>
        <v>#N/A</v>
      </c>
      <c r="W268" s="126" t="e">
        <f>VLOOKUP(OB_Act[[#This Row],[Dump Area]],$AE$2:$AF$51,2,0)</f>
        <v>#N/A</v>
      </c>
      <c r="X268" s="126" t="str">
        <f>OB_Act[[#This Row],[Excavator]]&amp;OB_Act[[#This Row],[Contractor]]</f>
        <v/>
      </c>
      <c r="Y268" s="126" t="e">
        <f>IF(OB_Act[[#This Row],[Material]]="MUD",VLOOKUP(OB_Act[[#This Row],[Dump Truck]],Type_mud[[Nama DT]:[Type]],2,0),VLOOKUP(OB_Act[[#This Row],[Dump Truck]],Type_DT_OB[[Nama DT]:[Type]],4,0))</f>
        <v>#N/A</v>
      </c>
      <c r="Z268" s="126" t="e">
        <f>"JBG-OP1-CENTRAL-"&amp;VLOOKUP(OB_Act[[#This Row],[Pit]],$AK$2:$AL$9,2,0)&amp;"-WASTE-"&amp;OB_Act[[#This Row],[Material]]</f>
        <v>#N/A</v>
      </c>
      <c r="AA268" s="126" t="e">
        <f>"JBG-DUMP1-"&amp;VLOOKUP(OB_Act[[#This Row],[Dump]],$AF$2:$AG$55,2,0)&amp;"-"&amp;OB_Act[[#This Row],[Material]]</f>
        <v>#N/A</v>
      </c>
      <c r="AB268" s="126" t="str">
        <f>"JBG-"&amp;OB_Act[[#This Row],[Material]]</f>
        <v>JBG-</v>
      </c>
    </row>
    <row r="269" spans="13:28">
      <c r="M269" s="105">
        <f>OB_Act[[#This Row],[Volume (BCM)]]*OB_Act[[#This Row],[Distance (Meter)]]</f>
        <v>0</v>
      </c>
      <c r="N269" s="105" t="str">
        <f>LEFT(OB_Act[[#This Row],[Dump Truck]],3)</f>
        <v/>
      </c>
      <c r="O269" s="126" t="str">
        <f>OB_Act[[#This Row],[Day]]&amp;OB_Act[[#This Row],[Excavator]]&amp;OB_Act[[#This Row],[Contractor]]&amp;OB_Act[[#This Row],[Pit]]&amp;OB_Act[[#This Row],[Shift]]</f>
        <v/>
      </c>
      <c r="P269" s="126">
        <f>1/COUNTIF(OB_Act[Dummy_Exc],OB_Act[[#This Row],[Dummy_Exc]])</f>
        <v>4.1841004184100415E-3</v>
      </c>
      <c r="Q269" s="105" t="str">
        <f>OB_Act[[#This Row],[Day]]&amp;OB_Act[[#This Row],[Dump Truck]]&amp;OB_Act[[#This Row],[Pit]]&amp;OB_Act[[#This Row],[Shift]]</f>
        <v/>
      </c>
      <c r="R269" s="126">
        <f>1/COUNTIF(OB_Act[Dummy_DT],OB_Act[[#This Row],[Dummy_DT]])</f>
        <v>4.1841004184100415E-3</v>
      </c>
      <c r="S269" s="126">
        <f>OB_Act[[#This Row],[Distance (Meter)]]*OB_Act[[#This Row],[Volume (BCM)]]</f>
        <v>0</v>
      </c>
      <c r="T269" s="105" t="str">
        <f>OB_Act[[#This Row],[Day]]&amp;OB_Act[[#This Row],[Dump Truck]]&amp;OB_Act[[#This Row],[Contractor]]&amp;OB_Act[[#This Row],[Excavator]]&amp;OB_Act[[#This Row],[Shift]]</f>
        <v/>
      </c>
      <c r="U269" s="126">
        <f>1/COUNTIF(OB_Act[Dummy_DT/Exc],OB_Act[[#This Row],[Dummy_DT/Exc]])</f>
        <v>4.1841004184100415E-3</v>
      </c>
      <c r="V269" s="126" t="e">
        <f>VLOOKUP(OB_Act[[#This Row],[Day]],$AO$2:$AR$32,4,0)</f>
        <v>#N/A</v>
      </c>
      <c r="W269" s="126" t="e">
        <f>VLOOKUP(OB_Act[[#This Row],[Dump Area]],$AE$2:$AF$51,2,0)</f>
        <v>#N/A</v>
      </c>
      <c r="X269" s="126" t="str">
        <f>OB_Act[[#This Row],[Excavator]]&amp;OB_Act[[#This Row],[Contractor]]</f>
        <v/>
      </c>
      <c r="Y269" s="126" t="e">
        <f>IF(OB_Act[[#This Row],[Material]]="MUD",VLOOKUP(OB_Act[[#This Row],[Dump Truck]],Type_mud[[Nama DT]:[Type]],2,0),VLOOKUP(OB_Act[[#This Row],[Dump Truck]],Type_DT_OB[[Nama DT]:[Type]],4,0))</f>
        <v>#N/A</v>
      </c>
      <c r="Z269" s="126" t="e">
        <f>"JBG-OP1-CENTRAL-"&amp;VLOOKUP(OB_Act[[#This Row],[Pit]],$AK$2:$AL$9,2,0)&amp;"-WASTE-"&amp;OB_Act[[#This Row],[Material]]</f>
        <v>#N/A</v>
      </c>
      <c r="AA269" s="126" t="e">
        <f>"JBG-DUMP1-"&amp;VLOOKUP(OB_Act[[#This Row],[Dump]],$AF$2:$AG$55,2,0)&amp;"-"&amp;OB_Act[[#This Row],[Material]]</f>
        <v>#N/A</v>
      </c>
      <c r="AB269" s="126" t="str">
        <f>"JBG-"&amp;OB_Act[[#This Row],[Material]]</f>
        <v>JBG-</v>
      </c>
    </row>
    <row r="270" spans="13:28">
      <c r="M270" s="105">
        <f>OB_Act[[#This Row],[Volume (BCM)]]*OB_Act[[#This Row],[Distance (Meter)]]</f>
        <v>0</v>
      </c>
      <c r="N270" s="105" t="str">
        <f>LEFT(OB_Act[[#This Row],[Dump Truck]],3)</f>
        <v/>
      </c>
      <c r="O270" s="126" t="str">
        <f>OB_Act[[#This Row],[Day]]&amp;OB_Act[[#This Row],[Excavator]]&amp;OB_Act[[#This Row],[Contractor]]&amp;OB_Act[[#This Row],[Pit]]&amp;OB_Act[[#This Row],[Shift]]</f>
        <v/>
      </c>
      <c r="P270" s="126">
        <f>1/COUNTIF(OB_Act[Dummy_Exc],OB_Act[[#This Row],[Dummy_Exc]])</f>
        <v>4.1841004184100415E-3</v>
      </c>
      <c r="Q270" s="105" t="str">
        <f>OB_Act[[#This Row],[Day]]&amp;OB_Act[[#This Row],[Dump Truck]]&amp;OB_Act[[#This Row],[Pit]]&amp;OB_Act[[#This Row],[Shift]]</f>
        <v/>
      </c>
      <c r="R270" s="126">
        <f>1/COUNTIF(OB_Act[Dummy_DT],OB_Act[[#This Row],[Dummy_DT]])</f>
        <v>4.1841004184100415E-3</v>
      </c>
      <c r="S270" s="126">
        <f>OB_Act[[#This Row],[Distance (Meter)]]*OB_Act[[#This Row],[Volume (BCM)]]</f>
        <v>0</v>
      </c>
      <c r="T270" s="105" t="str">
        <f>OB_Act[[#This Row],[Day]]&amp;OB_Act[[#This Row],[Dump Truck]]&amp;OB_Act[[#This Row],[Contractor]]&amp;OB_Act[[#This Row],[Excavator]]&amp;OB_Act[[#This Row],[Shift]]</f>
        <v/>
      </c>
      <c r="U270" s="126">
        <f>1/COUNTIF(OB_Act[Dummy_DT/Exc],OB_Act[[#This Row],[Dummy_DT/Exc]])</f>
        <v>4.1841004184100415E-3</v>
      </c>
      <c r="V270" s="126" t="e">
        <f>VLOOKUP(OB_Act[[#This Row],[Day]],$AO$2:$AR$32,4,0)</f>
        <v>#N/A</v>
      </c>
      <c r="W270" s="126" t="e">
        <f>VLOOKUP(OB_Act[[#This Row],[Dump Area]],$AE$2:$AF$51,2,0)</f>
        <v>#N/A</v>
      </c>
      <c r="X270" s="126" t="str">
        <f>OB_Act[[#This Row],[Excavator]]&amp;OB_Act[[#This Row],[Contractor]]</f>
        <v/>
      </c>
      <c r="Y270" s="126" t="e">
        <f>IF(OB_Act[[#This Row],[Material]]="MUD",VLOOKUP(OB_Act[[#This Row],[Dump Truck]],Type_mud[[Nama DT]:[Type]],2,0),VLOOKUP(OB_Act[[#This Row],[Dump Truck]],Type_DT_OB[[Nama DT]:[Type]],4,0))</f>
        <v>#N/A</v>
      </c>
      <c r="Z270" s="126" t="e">
        <f>"JBG-OP1-CENTRAL-"&amp;VLOOKUP(OB_Act[[#This Row],[Pit]],$AK$2:$AL$9,2,0)&amp;"-WASTE-"&amp;OB_Act[[#This Row],[Material]]</f>
        <v>#N/A</v>
      </c>
      <c r="AA270" s="126" t="e">
        <f>"JBG-DUMP1-"&amp;VLOOKUP(OB_Act[[#This Row],[Dump]],$AF$2:$AG$55,2,0)&amp;"-"&amp;OB_Act[[#This Row],[Material]]</f>
        <v>#N/A</v>
      </c>
      <c r="AB270" s="126" t="str">
        <f>"JBG-"&amp;OB_Act[[#This Row],[Material]]</f>
        <v>JBG-</v>
      </c>
    </row>
    <row r="271" spans="13:28">
      <c r="M271" s="105">
        <f>OB_Act[[#This Row],[Volume (BCM)]]*OB_Act[[#This Row],[Distance (Meter)]]</f>
        <v>0</v>
      </c>
      <c r="N271" s="105" t="str">
        <f>LEFT(OB_Act[[#This Row],[Dump Truck]],3)</f>
        <v/>
      </c>
      <c r="O271" s="126" t="str">
        <f>OB_Act[[#This Row],[Day]]&amp;OB_Act[[#This Row],[Excavator]]&amp;OB_Act[[#This Row],[Contractor]]&amp;OB_Act[[#This Row],[Pit]]&amp;OB_Act[[#This Row],[Shift]]</f>
        <v/>
      </c>
      <c r="P271" s="126">
        <f>1/COUNTIF(OB_Act[Dummy_Exc],OB_Act[[#This Row],[Dummy_Exc]])</f>
        <v>4.1841004184100415E-3</v>
      </c>
      <c r="Q271" s="105" t="str">
        <f>OB_Act[[#This Row],[Day]]&amp;OB_Act[[#This Row],[Dump Truck]]&amp;OB_Act[[#This Row],[Pit]]&amp;OB_Act[[#This Row],[Shift]]</f>
        <v/>
      </c>
      <c r="R271" s="126">
        <f>1/COUNTIF(OB_Act[Dummy_DT],OB_Act[[#This Row],[Dummy_DT]])</f>
        <v>4.1841004184100415E-3</v>
      </c>
      <c r="S271" s="126">
        <f>OB_Act[[#This Row],[Distance (Meter)]]*OB_Act[[#This Row],[Volume (BCM)]]</f>
        <v>0</v>
      </c>
      <c r="T271" s="105" t="str">
        <f>OB_Act[[#This Row],[Day]]&amp;OB_Act[[#This Row],[Dump Truck]]&amp;OB_Act[[#This Row],[Contractor]]&amp;OB_Act[[#This Row],[Excavator]]&amp;OB_Act[[#This Row],[Shift]]</f>
        <v/>
      </c>
      <c r="U271" s="126">
        <f>1/COUNTIF(OB_Act[Dummy_DT/Exc],OB_Act[[#This Row],[Dummy_DT/Exc]])</f>
        <v>4.1841004184100415E-3</v>
      </c>
      <c r="V271" s="126" t="e">
        <f>VLOOKUP(OB_Act[[#This Row],[Day]],$AO$2:$AR$32,4,0)</f>
        <v>#N/A</v>
      </c>
      <c r="W271" s="126" t="e">
        <f>VLOOKUP(OB_Act[[#This Row],[Dump Area]],$AE$2:$AF$51,2,0)</f>
        <v>#N/A</v>
      </c>
      <c r="X271" s="126" t="str">
        <f>OB_Act[[#This Row],[Excavator]]&amp;OB_Act[[#This Row],[Contractor]]</f>
        <v/>
      </c>
      <c r="Y271" s="126" t="e">
        <f>IF(OB_Act[[#This Row],[Material]]="MUD",VLOOKUP(OB_Act[[#This Row],[Dump Truck]],Type_mud[[Nama DT]:[Type]],2,0),VLOOKUP(OB_Act[[#This Row],[Dump Truck]],Type_DT_OB[[Nama DT]:[Type]],4,0))</f>
        <v>#N/A</v>
      </c>
      <c r="Z271" s="126" t="e">
        <f>"JBG-OP1-CENTRAL-"&amp;VLOOKUP(OB_Act[[#This Row],[Pit]],$AK$2:$AL$9,2,0)&amp;"-WASTE-"&amp;OB_Act[[#This Row],[Material]]</f>
        <v>#N/A</v>
      </c>
      <c r="AA271" s="126" t="e">
        <f>"JBG-DUMP1-"&amp;VLOOKUP(OB_Act[[#This Row],[Dump]],$AF$2:$AG$55,2,0)&amp;"-"&amp;OB_Act[[#This Row],[Material]]</f>
        <v>#N/A</v>
      </c>
      <c r="AB271" s="126" t="str">
        <f>"JBG-"&amp;OB_Act[[#This Row],[Material]]</f>
        <v>JBG-</v>
      </c>
    </row>
    <row r="272" spans="13:28">
      <c r="M272" s="105">
        <f>OB_Act[[#This Row],[Volume (BCM)]]*OB_Act[[#This Row],[Distance (Meter)]]</f>
        <v>0</v>
      </c>
      <c r="N272" s="105" t="str">
        <f>LEFT(OB_Act[[#This Row],[Dump Truck]],3)</f>
        <v/>
      </c>
      <c r="O272" s="126" t="str">
        <f>OB_Act[[#This Row],[Day]]&amp;OB_Act[[#This Row],[Excavator]]&amp;OB_Act[[#This Row],[Contractor]]&amp;OB_Act[[#This Row],[Pit]]&amp;OB_Act[[#This Row],[Shift]]</f>
        <v/>
      </c>
      <c r="P272" s="126">
        <f>1/COUNTIF(OB_Act[Dummy_Exc],OB_Act[[#This Row],[Dummy_Exc]])</f>
        <v>4.1841004184100415E-3</v>
      </c>
      <c r="Q272" s="105" t="str">
        <f>OB_Act[[#This Row],[Day]]&amp;OB_Act[[#This Row],[Dump Truck]]&amp;OB_Act[[#This Row],[Pit]]&amp;OB_Act[[#This Row],[Shift]]</f>
        <v/>
      </c>
      <c r="R272" s="126">
        <f>1/COUNTIF(OB_Act[Dummy_DT],OB_Act[[#This Row],[Dummy_DT]])</f>
        <v>4.1841004184100415E-3</v>
      </c>
      <c r="S272" s="126">
        <f>OB_Act[[#This Row],[Distance (Meter)]]*OB_Act[[#This Row],[Volume (BCM)]]</f>
        <v>0</v>
      </c>
      <c r="T272" s="105" t="str">
        <f>OB_Act[[#This Row],[Day]]&amp;OB_Act[[#This Row],[Dump Truck]]&amp;OB_Act[[#This Row],[Contractor]]&amp;OB_Act[[#This Row],[Excavator]]&amp;OB_Act[[#This Row],[Shift]]</f>
        <v/>
      </c>
      <c r="U272" s="126">
        <f>1/COUNTIF(OB_Act[Dummy_DT/Exc],OB_Act[[#This Row],[Dummy_DT/Exc]])</f>
        <v>4.1841004184100415E-3</v>
      </c>
      <c r="V272" s="126" t="e">
        <f>VLOOKUP(OB_Act[[#This Row],[Day]],$AO$2:$AR$32,4,0)</f>
        <v>#N/A</v>
      </c>
      <c r="W272" s="126" t="e">
        <f>VLOOKUP(OB_Act[[#This Row],[Dump Area]],$AE$2:$AF$51,2,0)</f>
        <v>#N/A</v>
      </c>
      <c r="X272" s="126" t="str">
        <f>OB_Act[[#This Row],[Excavator]]&amp;OB_Act[[#This Row],[Contractor]]</f>
        <v/>
      </c>
      <c r="Y272" s="126" t="e">
        <f>IF(OB_Act[[#This Row],[Material]]="MUD",VLOOKUP(OB_Act[[#This Row],[Dump Truck]],Type_mud[[Nama DT]:[Type]],2,0),VLOOKUP(OB_Act[[#This Row],[Dump Truck]],Type_DT_OB[[Nama DT]:[Type]],4,0))</f>
        <v>#N/A</v>
      </c>
      <c r="Z272" s="126" t="e">
        <f>"JBG-OP1-CENTRAL-"&amp;VLOOKUP(OB_Act[[#This Row],[Pit]],$AK$2:$AL$9,2,0)&amp;"-WASTE-"&amp;OB_Act[[#This Row],[Material]]</f>
        <v>#N/A</v>
      </c>
      <c r="AA272" s="126" t="e">
        <f>"JBG-DUMP1-"&amp;VLOOKUP(OB_Act[[#This Row],[Dump]],$AF$2:$AG$55,2,0)&amp;"-"&amp;OB_Act[[#This Row],[Material]]</f>
        <v>#N/A</v>
      </c>
      <c r="AB272" s="126" t="str">
        <f>"JBG-"&amp;OB_Act[[#This Row],[Material]]</f>
        <v>JBG-</v>
      </c>
    </row>
    <row r="273" spans="13:28">
      <c r="M273" s="105">
        <f>OB_Act[[#This Row],[Volume (BCM)]]*OB_Act[[#This Row],[Distance (Meter)]]</f>
        <v>0</v>
      </c>
      <c r="N273" s="105" t="str">
        <f>LEFT(OB_Act[[#This Row],[Dump Truck]],3)</f>
        <v/>
      </c>
      <c r="O273" s="126" t="str">
        <f>OB_Act[[#This Row],[Day]]&amp;OB_Act[[#This Row],[Excavator]]&amp;OB_Act[[#This Row],[Contractor]]&amp;OB_Act[[#This Row],[Pit]]&amp;OB_Act[[#This Row],[Shift]]</f>
        <v/>
      </c>
      <c r="P273" s="126">
        <f>1/COUNTIF(OB_Act[Dummy_Exc],OB_Act[[#This Row],[Dummy_Exc]])</f>
        <v>4.1841004184100415E-3</v>
      </c>
      <c r="Q273" s="105" t="str">
        <f>OB_Act[[#This Row],[Day]]&amp;OB_Act[[#This Row],[Dump Truck]]&amp;OB_Act[[#This Row],[Pit]]&amp;OB_Act[[#This Row],[Shift]]</f>
        <v/>
      </c>
      <c r="R273" s="126">
        <f>1/COUNTIF(OB_Act[Dummy_DT],OB_Act[[#This Row],[Dummy_DT]])</f>
        <v>4.1841004184100415E-3</v>
      </c>
      <c r="S273" s="126">
        <f>OB_Act[[#This Row],[Distance (Meter)]]*OB_Act[[#This Row],[Volume (BCM)]]</f>
        <v>0</v>
      </c>
      <c r="T273" s="105" t="str">
        <f>OB_Act[[#This Row],[Day]]&amp;OB_Act[[#This Row],[Dump Truck]]&amp;OB_Act[[#This Row],[Contractor]]&amp;OB_Act[[#This Row],[Excavator]]&amp;OB_Act[[#This Row],[Shift]]</f>
        <v/>
      </c>
      <c r="U273" s="126">
        <f>1/COUNTIF(OB_Act[Dummy_DT/Exc],OB_Act[[#This Row],[Dummy_DT/Exc]])</f>
        <v>4.1841004184100415E-3</v>
      </c>
      <c r="V273" s="126" t="e">
        <f>VLOOKUP(OB_Act[[#This Row],[Day]],$AO$2:$AR$32,4,0)</f>
        <v>#N/A</v>
      </c>
      <c r="W273" s="126" t="e">
        <f>VLOOKUP(OB_Act[[#This Row],[Dump Area]],$AE$2:$AF$51,2,0)</f>
        <v>#N/A</v>
      </c>
      <c r="X273" s="126" t="str">
        <f>OB_Act[[#This Row],[Excavator]]&amp;OB_Act[[#This Row],[Contractor]]</f>
        <v/>
      </c>
      <c r="Y273" s="126" t="e">
        <f>IF(OB_Act[[#This Row],[Material]]="MUD",VLOOKUP(OB_Act[[#This Row],[Dump Truck]],Type_mud[[Nama DT]:[Type]],2,0),VLOOKUP(OB_Act[[#This Row],[Dump Truck]],Type_DT_OB[[Nama DT]:[Type]],4,0))</f>
        <v>#N/A</v>
      </c>
      <c r="Z273" s="126" t="e">
        <f>"JBG-OP1-CENTRAL-"&amp;VLOOKUP(OB_Act[[#This Row],[Pit]],$AK$2:$AL$9,2,0)&amp;"-WASTE-"&amp;OB_Act[[#This Row],[Material]]</f>
        <v>#N/A</v>
      </c>
      <c r="AA273" s="126" t="e">
        <f>"JBG-DUMP1-"&amp;VLOOKUP(OB_Act[[#This Row],[Dump]],$AF$2:$AG$55,2,0)&amp;"-"&amp;OB_Act[[#This Row],[Material]]</f>
        <v>#N/A</v>
      </c>
      <c r="AB273" s="126" t="str">
        <f>"JBG-"&amp;OB_Act[[#This Row],[Material]]</f>
        <v>JBG-</v>
      </c>
    </row>
    <row r="274" spans="13:28">
      <c r="M274" s="105">
        <f>OB_Act[[#This Row],[Volume (BCM)]]*OB_Act[[#This Row],[Distance (Meter)]]</f>
        <v>0</v>
      </c>
      <c r="N274" s="105" t="str">
        <f>LEFT(OB_Act[[#This Row],[Dump Truck]],3)</f>
        <v/>
      </c>
      <c r="O274" s="126" t="str">
        <f>OB_Act[[#This Row],[Day]]&amp;OB_Act[[#This Row],[Excavator]]&amp;OB_Act[[#This Row],[Contractor]]&amp;OB_Act[[#This Row],[Pit]]&amp;OB_Act[[#This Row],[Shift]]</f>
        <v/>
      </c>
      <c r="P274" s="126">
        <f>1/COUNTIF(OB_Act[Dummy_Exc],OB_Act[[#This Row],[Dummy_Exc]])</f>
        <v>4.1841004184100415E-3</v>
      </c>
      <c r="Q274" s="105" t="str">
        <f>OB_Act[[#This Row],[Day]]&amp;OB_Act[[#This Row],[Dump Truck]]&amp;OB_Act[[#This Row],[Pit]]&amp;OB_Act[[#This Row],[Shift]]</f>
        <v/>
      </c>
      <c r="R274" s="126">
        <f>1/COUNTIF(OB_Act[Dummy_DT],OB_Act[[#This Row],[Dummy_DT]])</f>
        <v>4.1841004184100415E-3</v>
      </c>
      <c r="S274" s="126">
        <f>OB_Act[[#This Row],[Distance (Meter)]]*OB_Act[[#This Row],[Volume (BCM)]]</f>
        <v>0</v>
      </c>
      <c r="T274" s="105" t="str">
        <f>OB_Act[[#This Row],[Day]]&amp;OB_Act[[#This Row],[Dump Truck]]&amp;OB_Act[[#This Row],[Contractor]]&amp;OB_Act[[#This Row],[Excavator]]&amp;OB_Act[[#This Row],[Shift]]</f>
        <v/>
      </c>
      <c r="U274" s="126">
        <f>1/COUNTIF(OB_Act[Dummy_DT/Exc],OB_Act[[#This Row],[Dummy_DT/Exc]])</f>
        <v>4.1841004184100415E-3</v>
      </c>
      <c r="V274" s="126" t="e">
        <f>VLOOKUP(OB_Act[[#This Row],[Day]],$AO$2:$AR$32,4,0)</f>
        <v>#N/A</v>
      </c>
      <c r="W274" s="126" t="e">
        <f>VLOOKUP(OB_Act[[#This Row],[Dump Area]],$AE$2:$AF$51,2,0)</f>
        <v>#N/A</v>
      </c>
      <c r="X274" s="126" t="str">
        <f>OB_Act[[#This Row],[Excavator]]&amp;OB_Act[[#This Row],[Contractor]]</f>
        <v/>
      </c>
      <c r="Y274" s="126" t="e">
        <f>IF(OB_Act[[#This Row],[Material]]="MUD",VLOOKUP(OB_Act[[#This Row],[Dump Truck]],Type_mud[[Nama DT]:[Type]],2,0),VLOOKUP(OB_Act[[#This Row],[Dump Truck]],Type_DT_OB[[Nama DT]:[Type]],4,0))</f>
        <v>#N/A</v>
      </c>
      <c r="Z274" s="126" t="e">
        <f>"JBG-OP1-CENTRAL-"&amp;VLOOKUP(OB_Act[[#This Row],[Pit]],$AK$2:$AL$9,2,0)&amp;"-WASTE-"&amp;OB_Act[[#This Row],[Material]]</f>
        <v>#N/A</v>
      </c>
      <c r="AA274" s="126" t="e">
        <f>"JBG-DUMP1-"&amp;VLOOKUP(OB_Act[[#This Row],[Dump]],$AF$2:$AG$55,2,0)&amp;"-"&amp;OB_Act[[#This Row],[Material]]</f>
        <v>#N/A</v>
      </c>
      <c r="AB274" s="126" t="str">
        <f>"JBG-"&amp;OB_Act[[#This Row],[Material]]</f>
        <v>JBG-</v>
      </c>
    </row>
    <row r="275" spans="13:28">
      <c r="M275" s="105">
        <f>OB_Act[[#This Row],[Volume (BCM)]]*OB_Act[[#This Row],[Distance (Meter)]]</f>
        <v>0</v>
      </c>
      <c r="N275" s="105" t="str">
        <f>LEFT(OB_Act[[#This Row],[Dump Truck]],3)</f>
        <v/>
      </c>
      <c r="O275" s="126" t="str">
        <f>OB_Act[[#This Row],[Day]]&amp;OB_Act[[#This Row],[Excavator]]&amp;OB_Act[[#This Row],[Contractor]]&amp;OB_Act[[#This Row],[Pit]]&amp;OB_Act[[#This Row],[Shift]]</f>
        <v/>
      </c>
      <c r="P275" s="126">
        <f>1/COUNTIF(OB_Act[Dummy_Exc],OB_Act[[#This Row],[Dummy_Exc]])</f>
        <v>4.1841004184100415E-3</v>
      </c>
      <c r="Q275" s="105" t="str">
        <f>OB_Act[[#This Row],[Day]]&amp;OB_Act[[#This Row],[Dump Truck]]&amp;OB_Act[[#This Row],[Pit]]&amp;OB_Act[[#This Row],[Shift]]</f>
        <v/>
      </c>
      <c r="R275" s="126">
        <f>1/COUNTIF(OB_Act[Dummy_DT],OB_Act[[#This Row],[Dummy_DT]])</f>
        <v>4.1841004184100415E-3</v>
      </c>
      <c r="S275" s="126">
        <f>OB_Act[[#This Row],[Distance (Meter)]]*OB_Act[[#This Row],[Volume (BCM)]]</f>
        <v>0</v>
      </c>
      <c r="T275" s="105" t="str">
        <f>OB_Act[[#This Row],[Day]]&amp;OB_Act[[#This Row],[Dump Truck]]&amp;OB_Act[[#This Row],[Contractor]]&amp;OB_Act[[#This Row],[Excavator]]&amp;OB_Act[[#This Row],[Shift]]</f>
        <v/>
      </c>
      <c r="U275" s="126">
        <f>1/COUNTIF(OB_Act[Dummy_DT/Exc],OB_Act[[#This Row],[Dummy_DT/Exc]])</f>
        <v>4.1841004184100415E-3</v>
      </c>
      <c r="V275" s="126" t="e">
        <f>VLOOKUP(OB_Act[[#This Row],[Day]],$AO$2:$AR$32,4,0)</f>
        <v>#N/A</v>
      </c>
      <c r="W275" s="126" t="e">
        <f>VLOOKUP(OB_Act[[#This Row],[Dump Area]],$AE$2:$AF$51,2,0)</f>
        <v>#N/A</v>
      </c>
      <c r="X275" s="126" t="str">
        <f>OB_Act[[#This Row],[Excavator]]&amp;OB_Act[[#This Row],[Contractor]]</f>
        <v/>
      </c>
      <c r="Y275" s="126" t="e">
        <f>IF(OB_Act[[#This Row],[Material]]="MUD",VLOOKUP(OB_Act[[#This Row],[Dump Truck]],Type_mud[[Nama DT]:[Type]],2,0),VLOOKUP(OB_Act[[#This Row],[Dump Truck]],Type_DT_OB[[Nama DT]:[Type]],4,0))</f>
        <v>#N/A</v>
      </c>
      <c r="Z275" s="126" t="e">
        <f>"JBG-OP1-CENTRAL-"&amp;VLOOKUP(OB_Act[[#This Row],[Pit]],$AK$2:$AL$9,2,0)&amp;"-WASTE-"&amp;OB_Act[[#This Row],[Material]]</f>
        <v>#N/A</v>
      </c>
      <c r="AA275" s="126" t="e">
        <f>"JBG-DUMP1-"&amp;VLOOKUP(OB_Act[[#This Row],[Dump]],$AF$2:$AG$55,2,0)&amp;"-"&amp;OB_Act[[#This Row],[Material]]</f>
        <v>#N/A</v>
      </c>
      <c r="AB275" s="126" t="str">
        <f>"JBG-"&amp;OB_Act[[#This Row],[Material]]</f>
        <v>JBG-</v>
      </c>
    </row>
    <row r="276" spans="13:28">
      <c r="M276" s="105">
        <f>OB_Act[[#This Row],[Volume (BCM)]]*OB_Act[[#This Row],[Distance (Meter)]]</f>
        <v>0</v>
      </c>
      <c r="N276" s="105" t="str">
        <f>LEFT(OB_Act[[#This Row],[Dump Truck]],3)</f>
        <v/>
      </c>
      <c r="O276" s="126" t="str">
        <f>OB_Act[[#This Row],[Day]]&amp;OB_Act[[#This Row],[Excavator]]&amp;OB_Act[[#This Row],[Contractor]]&amp;OB_Act[[#This Row],[Pit]]&amp;OB_Act[[#This Row],[Shift]]</f>
        <v/>
      </c>
      <c r="P276" s="126">
        <f>1/COUNTIF(OB_Act[Dummy_Exc],OB_Act[[#This Row],[Dummy_Exc]])</f>
        <v>4.1841004184100415E-3</v>
      </c>
      <c r="Q276" s="105" t="str">
        <f>OB_Act[[#This Row],[Day]]&amp;OB_Act[[#This Row],[Dump Truck]]&amp;OB_Act[[#This Row],[Pit]]&amp;OB_Act[[#This Row],[Shift]]</f>
        <v/>
      </c>
      <c r="R276" s="126">
        <f>1/COUNTIF(OB_Act[Dummy_DT],OB_Act[[#This Row],[Dummy_DT]])</f>
        <v>4.1841004184100415E-3</v>
      </c>
      <c r="S276" s="126">
        <f>OB_Act[[#This Row],[Distance (Meter)]]*OB_Act[[#This Row],[Volume (BCM)]]</f>
        <v>0</v>
      </c>
      <c r="T276" s="105" t="str">
        <f>OB_Act[[#This Row],[Day]]&amp;OB_Act[[#This Row],[Dump Truck]]&amp;OB_Act[[#This Row],[Contractor]]&amp;OB_Act[[#This Row],[Excavator]]&amp;OB_Act[[#This Row],[Shift]]</f>
        <v/>
      </c>
      <c r="U276" s="126">
        <f>1/COUNTIF(OB_Act[Dummy_DT/Exc],OB_Act[[#This Row],[Dummy_DT/Exc]])</f>
        <v>4.1841004184100415E-3</v>
      </c>
      <c r="V276" s="126" t="e">
        <f>VLOOKUP(OB_Act[[#This Row],[Day]],$AO$2:$AR$32,4,0)</f>
        <v>#N/A</v>
      </c>
      <c r="W276" s="126" t="e">
        <f>VLOOKUP(OB_Act[[#This Row],[Dump Area]],$AE$2:$AF$51,2,0)</f>
        <v>#N/A</v>
      </c>
      <c r="X276" s="126" t="str">
        <f>OB_Act[[#This Row],[Excavator]]&amp;OB_Act[[#This Row],[Contractor]]</f>
        <v/>
      </c>
      <c r="Y276" s="126" t="e">
        <f>IF(OB_Act[[#This Row],[Material]]="MUD",VLOOKUP(OB_Act[[#This Row],[Dump Truck]],Type_mud[[Nama DT]:[Type]],2,0),VLOOKUP(OB_Act[[#This Row],[Dump Truck]],Type_DT_OB[[Nama DT]:[Type]],4,0))</f>
        <v>#N/A</v>
      </c>
      <c r="Z276" s="126" t="e">
        <f>"JBG-OP1-CENTRAL-"&amp;VLOOKUP(OB_Act[[#This Row],[Pit]],$AK$2:$AL$9,2,0)&amp;"-WASTE-"&amp;OB_Act[[#This Row],[Material]]</f>
        <v>#N/A</v>
      </c>
      <c r="AA276" s="126" t="e">
        <f>"JBG-DUMP1-"&amp;VLOOKUP(OB_Act[[#This Row],[Dump]],$AF$2:$AG$55,2,0)&amp;"-"&amp;OB_Act[[#This Row],[Material]]</f>
        <v>#N/A</v>
      </c>
      <c r="AB276" s="126" t="str">
        <f>"JBG-"&amp;OB_Act[[#This Row],[Material]]</f>
        <v>JBG-</v>
      </c>
    </row>
    <row r="277" spans="13:28">
      <c r="M277" s="105">
        <f>OB_Act[[#This Row],[Volume (BCM)]]*OB_Act[[#This Row],[Distance (Meter)]]</f>
        <v>0</v>
      </c>
      <c r="N277" s="105" t="str">
        <f>LEFT(OB_Act[[#This Row],[Dump Truck]],3)</f>
        <v/>
      </c>
      <c r="O277" s="126" t="str">
        <f>OB_Act[[#This Row],[Day]]&amp;OB_Act[[#This Row],[Excavator]]&amp;OB_Act[[#This Row],[Contractor]]&amp;OB_Act[[#This Row],[Pit]]&amp;OB_Act[[#This Row],[Shift]]</f>
        <v/>
      </c>
      <c r="P277" s="126">
        <f>1/COUNTIF(OB_Act[Dummy_Exc],OB_Act[[#This Row],[Dummy_Exc]])</f>
        <v>4.1841004184100415E-3</v>
      </c>
      <c r="Q277" s="105" t="str">
        <f>OB_Act[[#This Row],[Day]]&amp;OB_Act[[#This Row],[Dump Truck]]&amp;OB_Act[[#This Row],[Pit]]&amp;OB_Act[[#This Row],[Shift]]</f>
        <v/>
      </c>
      <c r="R277" s="126">
        <f>1/COUNTIF(OB_Act[Dummy_DT],OB_Act[[#This Row],[Dummy_DT]])</f>
        <v>4.1841004184100415E-3</v>
      </c>
      <c r="S277" s="126">
        <f>OB_Act[[#This Row],[Distance (Meter)]]*OB_Act[[#This Row],[Volume (BCM)]]</f>
        <v>0</v>
      </c>
      <c r="T277" s="105" t="str">
        <f>OB_Act[[#This Row],[Day]]&amp;OB_Act[[#This Row],[Dump Truck]]&amp;OB_Act[[#This Row],[Contractor]]&amp;OB_Act[[#This Row],[Excavator]]&amp;OB_Act[[#This Row],[Shift]]</f>
        <v/>
      </c>
      <c r="U277" s="126">
        <f>1/COUNTIF(OB_Act[Dummy_DT/Exc],OB_Act[[#This Row],[Dummy_DT/Exc]])</f>
        <v>4.1841004184100415E-3</v>
      </c>
      <c r="V277" s="126" t="e">
        <f>VLOOKUP(OB_Act[[#This Row],[Day]],$AO$2:$AR$32,4,0)</f>
        <v>#N/A</v>
      </c>
      <c r="W277" s="126" t="e">
        <f>VLOOKUP(OB_Act[[#This Row],[Dump Area]],$AE$2:$AF$51,2,0)</f>
        <v>#N/A</v>
      </c>
      <c r="X277" s="126" t="str">
        <f>OB_Act[[#This Row],[Excavator]]&amp;OB_Act[[#This Row],[Contractor]]</f>
        <v/>
      </c>
      <c r="Y277" s="126" t="e">
        <f>IF(OB_Act[[#This Row],[Material]]="MUD",VLOOKUP(OB_Act[[#This Row],[Dump Truck]],Type_mud[[Nama DT]:[Type]],2,0),VLOOKUP(OB_Act[[#This Row],[Dump Truck]],Type_DT_OB[[Nama DT]:[Type]],4,0))</f>
        <v>#N/A</v>
      </c>
      <c r="Z277" s="126" t="e">
        <f>"JBG-OP1-CENTRAL-"&amp;VLOOKUP(OB_Act[[#This Row],[Pit]],$AK$2:$AL$9,2,0)&amp;"-WASTE-"&amp;OB_Act[[#This Row],[Material]]</f>
        <v>#N/A</v>
      </c>
      <c r="AA277" s="126" t="e">
        <f>"JBG-DUMP1-"&amp;VLOOKUP(OB_Act[[#This Row],[Dump]],$AF$2:$AG$55,2,0)&amp;"-"&amp;OB_Act[[#This Row],[Material]]</f>
        <v>#N/A</v>
      </c>
      <c r="AB277" s="126" t="str">
        <f>"JBG-"&amp;OB_Act[[#This Row],[Material]]</f>
        <v>JBG-</v>
      </c>
    </row>
    <row r="278" spans="13:28">
      <c r="M278" s="105">
        <f>OB_Act[[#This Row],[Volume (BCM)]]*OB_Act[[#This Row],[Distance (Meter)]]</f>
        <v>0</v>
      </c>
      <c r="N278" s="105" t="str">
        <f>LEFT(OB_Act[[#This Row],[Dump Truck]],3)</f>
        <v/>
      </c>
      <c r="O278" s="126" t="str">
        <f>OB_Act[[#This Row],[Day]]&amp;OB_Act[[#This Row],[Excavator]]&amp;OB_Act[[#This Row],[Contractor]]&amp;OB_Act[[#This Row],[Pit]]&amp;OB_Act[[#This Row],[Shift]]</f>
        <v/>
      </c>
      <c r="P278" s="126">
        <f>1/COUNTIF(OB_Act[Dummy_Exc],OB_Act[[#This Row],[Dummy_Exc]])</f>
        <v>4.1841004184100415E-3</v>
      </c>
      <c r="Q278" s="105" t="str">
        <f>OB_Act[[#This Row],[Day]]&amp;OB_Act[[#This Row],[Dump Truck]]&amp;OB_Act[[#This Row],[Pit]]&amp;OB_Act[[#This Row],[Shift]]</f>
        <v/>
      </c>
      <c r="R278" s="126">
        <f>1/COUNTIF(OB_Act[Dummy_DT],OB_Act[[#This Row],[Dummy_DT]])</f>
        <v>4.1841004184100415E-3</v>
      </c>
      <c r="S278" s="126">
        <f>OB_Act[[#This Row],[Distance (Meter)]]*OB_Act[[#This Row],[Volume (BCM)]]</f>
        <v>0</v>
      </c>
      <c r="T278" s="105" t="str">
        <f>OB_Act[[#This Row],[Day]]&amp;OB_Act[[#This Row],[Dump Truck]]&amp;OB_Act[[#This Row],[Contractor]]&amp;OB_Act[[#This Row],[Excavator]]&amp;OB_Act[[#This Row],[Shift]]</f>
        <v/>
      </c>
      <c r="U278" s="126">
        <f>1/COUNTIF(OB_Act[Dummy_DT/Exc],OB_Act[[#This Row],[Dummy_DT/Exc]])</f>
        <v>4.1841004184100415E-3</v>
      </c>
      <c r="V278" s="126" t="e">
        <f>VLOOKUP(OB_Act[[#This Row],[Day]],$AO$2:$AR$32,4,0)</f>
        <v>#N/A</v>
      </c>
      <c r="W278" s="126" t="e">
        <f>VLOOKUP(OB_Act[[#This Row],[Dump Area]],$AE$2:$AF$51,2,0)</f>
        <v>#N/A</v>
      </c>
      <c r="X278" s="126" t="str">
        <f>OB_Act[[#This Row],[Excavator]]&amp;OB_Act[[#This Row],[Contractor]]</f>
        <v/>
      </c>
      <c r="Y278" s="126" t="e">
        <f>IF(OB_Act[[#This Row],[Material]]="MUD",VLOOKUP(OB_Act[[#This Row],[Dump Truck]],Type_mud[[Nama DT]:[Type]],2,0),VLOOKUP(OB_Act[[#This Row],[Dump Truck]],Type_DT_OB[[Nama DT]:[Type]],4,0))</f>
        <v>#N/A</v>
      </c>
      <c r="Z278" s="126" t="e">
        <f>"JBG-OP1-CENTRAL-"&amp;VLOOKUP(OB_Act[[#This Row],[Pit]],$AK$2:$AL$9,2,0)&amp;"-WASTE-"&amp;OB_Act[[#This Row],[Material]]</f>
        <v>#N/A</v>
      </c>
      <c r="AA278" s="126" t="e">
        <f>"JBG-DUMP1-"&amp;VLOOKUP(OB_Act[[#This Row],[Dump]],$AF$2:$AG$55,2,0)&amp;"-"&amp;OB_Act[[#This Row],[Material]]</f>
        <v>#N/A</v>
      </c>
      <c r="AB278" s="126" t="str">
        <f>"JBG-"&amp;OB_Act[[#This Row],[Material]]</f>
        <v>JBG-</v>
      </c>
    </row>
    <row r="279" spans="13:28">
      <c r="M279" s="105">
        <f>OB_Act[[#This Row],[Volume (BCM)]]*OB_Act[[#This Row],[Distance (Meter)]]</f>
        <v>0</v>
      </c>
      <c r="N279" s="105" t="str">
        <f>LEFT(OB_Act[[#This Row],[Dump Truck]],3)</f>
        <v/>
      </c>
      <c r="O279" s="126" t="str">
        <f>OB_Act[[#This Row],[Day]]&amp;OB_Act[[#This Row],[Excavator]]&amp;OB_Act[[#This Row],[Contractor]]&amp;OB_Act[[#This Row],[Pit]]&amp;OB_Act[[#This Row],[Shift]]</f>
        <v/>
      </c>
      <c r="P279" s="126">
        <f>1/COUNTIF(OB_Act[Dummy_Exc],OB_Act[[#This Row],[Dummy_Exc]])</f>
        <v>4.1841004184100415E-3</v>
      </c>
      <c r="Q279" s="105" t="str">
        <f>OB_Act[[#This Row],[Day]]&amp;OB_Act[[#This Row],[Dump Truck]]&amp;OB_Act[[#This Row],[Pit]]&amp;OB_Act[[#This Row],[Shift]]</f>
        <v/>
      </c>
      <c r="R279" s="126">
        <f>1/COUNTIF(OB_Act[Dummy_DT],OB_Act[[#This Row],[Dummy_DT]])</f>
        <v>4.1841004184100415E-3</v>
      </c>
      <c r="S279" s="126">
        <f>OB_Act[[#This Row],[Distance (Meter)]]*OB_Act[[#This Row],[Volume (BCM)]]</f>
        <v>0</v>
      </c>
      <c r="T279" s="105" t="str">
        <f>OB_Act[[#This Row],[Day]]&amp;OB_Act[[#This Row],[Dump Truck]]&amp;OB_Act[[#This Row],[Contractor]]&amp;OB_Act[[#This Row],[Excavator]]&amp;OB_Act[[#This Row],[Shift]]</f>
        <v/>
      </c>
      <c r="U279" s="126">
        <f>1/COUNTIF(OB_Act[Dummy_DT/Exc],OB_Act[[#This Row],[Dummy_DT/Exc]])</f>
        <v>4.1841004184100415E-3</v>
      </c>
      <c r="V279" s="126" t="e">
        <f>VLOOKUP(OB_Act[[#This Row],[Day]],$AO$2:$AR$32,4,0)</f>
        <v>#N/A</v>
      </c>
      <c r="W279" s="126" t="e">
        <f>VLOOKUP(OB_Act[[#This Row],[Dump Area]],$AE$2:$AF$51,2,0)</f>
        <v>#N/A</v>
      </c>
      <c r="X279" s="126" t="str">
        <f>OB_Act[[#This Row],[Excavator]]&amp;OB_Act[[#This Row],[Contractor]]</f>
        <v/>
      </c>
      <c r="Y279" s="126" t="e">
        <f>IF(OB_Act[[#This Row],[Material]]="MUD",VLOOKUP(OB_Act[[#This Row],[Dump Truck]],Type_mud[[Nama DT]:[Type]],2,0),VLOOKUP(OB_Act[[#This Row],[Dump Truck]],Type_DT_OB[[Nama DT]:[Type]],4,0))</f>
        <v>#N/A</v>
      </c>
      <c r="Z279" s="126" t="e">
        <f>"JBG-OP1-CENTRAL-"&amp;VLOOKUP(OB_Act[[#This Row],[Pit]],$AK$2:$AL$9,2,0)&amp;"-WASTE-"&amp;OB_Act[[#This Row],[Material]]</f>
        <v>#N/A</v>
      </c>
      <c r="AA279" s="126" t="e">
        <f>"JBG-DUMP1-"&amp;VLOOKUP(OB_Act[[#This Row],[Dump]],$AF$2:$AG$55,2,0)&amp;"-"&amp;OB_Act[[#This Row],[Material]]</f>
        <v>#N/A</v>
      </c>
      <c r="AB279" s="126" t="str">
        <f>"JBG-"&amp;OB_Act[[#This Row],[Material]]</f>
        <v>JBG-</v>
      </c>
    </row>
    <row r="280" spans="13:28">
      <c r="M280" s="105">
        <f>OB_Act[[#This Row],[Volume (BCM)]]*OB_Act[[#This Row],[Distance (Meter)]]</f>
        <v>0</v>
      </c>
      <c r="N280" s="105" t="str">
        <f>LEFT(OB_Act[[#This Row],[Dump Truck]],3)</f>
        <v/>
      </c>
      <c r="O280" s="126" t="str">
        <f>OB_Act[[#This Row],[Day]]&amp;OB_Act[[#This Row],[Excavator]]&amp;OB_Act[[#This Row],[Contractor]]&amp;OB_Act[[#This Row],[Pit]]&amp;OB_Act[[#This Row],[Shift]]</f>
        <v/>
      </c>
      <c r="P280" s="126">
        <f>1/COUNTIF(OB_Act[Dummy_Exc],OB_Act[[#This Row],[Dummy_Exc]])</f>
        <v>4.1841004184100415E-3</v>
      </c>
      <c r="Q280" s="105" t="str">
        <f>OB_Act[[#This Row],[Day]]&amp;OB_Act[[#This Row],[Dump Truck]]&amp;OB_Act[[#This Row],[Pit]]&amp;OB_Act[[#This Row],[Shift]]</f>
        <v/>
      </c>
      <c r="R280" s="126">
        <f>1/COUNTIF(OB_Act[Dummy_DT],OB_Act[[#This Row],[Dummy_DT]])</f>
        <v>4.1841004184100415E-3</v>
      </c>
      <c r="S280" s="126">
        <f>OB_Act[[#This Row],[Distance (Meter)]]*OB_Act[[#This Row],[Volume (BCM)]]</f>
        <v>0</v>
      </c>
      <c r="T280" s="105" t="str">
        <f>OB_Act[[#This Row],[Day]]&amp;OB_Act[[#This Row],[Dump Truck]]&amp;OB_Act[[#This Row],[Contractor]]&amp;OB_Act[[#This Row],[Excavator]]&amp;OB_Act[[#This Row],[Shift]]</f>
        <v/>
      </c>
      <c r="U280" s="126">
        <f>1/COUNTIF(OB_Act[Dummy_DT/Exc],OB_Act[[#This Row],[Dummy_DT/Exc]])</f>
        <v>4.1841004184100415E-3</v>
      </c>
      <c r="V280" s="126" t="e">
        <f>VLOOKUP(OB_Act[[#This Row],[Day]],$AO$2:$AR$32,4,0)</f>
        <v>#N/A</v>
      </c>
      <c r="W280" s="126" t="e">
        <f>VLOOKUP(OB_Act[[#This Row],[Dump Area]],$AE$2:$AF$51,2,0)</f>
        <v>#N/A</v>
      </c>
      <c r="X280" s="126" t="str">
        <f>OB_Act[[#This Row],[Excavator]]&amp;OB_Act[[#This Row],[Contractor]]</f>
        <v/>
      </c>
      <c r="Y280" s="126" t="e">
        <f>IF(OB_Act[[#This Row],[Material]]="MUD",VLOOKUP(OB_Act[[#This Row],[Dump Truck]],Type_mud[[Nama DT]:[Type]],2,0),VLOOKUP(OB_Act[[#This Row],[Dump Truck]],Type_DT_OB[[Nama DT]:[Type]],4,0))</f>
        <v>#N/A</v>
      </c>
      <c r="Z280" s="126" t="e">
        <f>"JBG-OP1-CENTRAL-"&amp;VLOOKUP(OB_Act[[#This Row],[Pit]],$AK$2:$AL$9,2,0)&amp;"-WASTE-"&amp;OB_Act[[#This Row],[Material]]</f>
        <v>#N/A</v>
      </c>
      <c r="AA280" s="126" t="e">
        <f>"JBG-DUMP1-"&amp;VLOOKUP(OB_Act[[#This Row],[Dump]],$AF$2:$AG$55,2,0)&amp;"-"&amp;OB_Act[[#This Row],[Material]]</f>
        <v>#N/A</v>
      </c>
      <c r="AB280" s="126" t="str">
        <f>"JBG-"&amp;OB_Act[[#This Row],[Material]]</f>
        <v>JBG-</v>
      </c>
    </row>
    <row r="281" spans="13:28">
      <c r="M281" s="105">
        <f>OB_Act[[#This Row],[Volume (BCM)]]*OB_Act[[#This Row],[Distance (Meter)]]</f>
        <v>0</v>
      </c>
      <c r="N281" s="105" t="str">
        <f>LEFT(OB_Act[[#This Row],[Dump Truck]],3)</f>
        <v/>
      </c>
      <c r="O281" s="126" t="str">
        <f>OB_Act[[#This Row],[Day]]&amp;OB_Act[[#This Row],[Excavator]]&amp;OB_Act[[#This Row],[Contractor]]&amp;OB_Act[[#This Row],[Pit]]&amp;OB_Act[[#This Row],[Shift]]</f>
        <v/>
      </c>
      <c r="P281" s="126">
        <f>1/COUNTIF(OB_Act[Dummy_Exc],OB_Act[[#This Row],[Dummy_Exc]])</f>
        <v>4.1841004184100415E-3</v>
      </c>
      <c r="Q281" s="105" t="str">
        <f>OB_Act[[#This Row],[Day]]&amp;OB_Act[[#This Row],[Dump Truck]]&amp;OB_Act[[#This Row],[Pit]]&amp;OB_Act[[#This Row],[Shift]]</f>
        <v/>
      </c>
      <c r="R281" s="126">
        <f>1/COUNTIF(OB_Act[Dummy_DT],OB_Act[[#This Row],[Dummy_DT]])</f>
        <v>4.1841004184100415E-3</v>
      </c>
      <c r="S281" s="126">
        <f>OB_Act[[#This Row],[Distance (Meter)]]*OB_Act[[#This Row],[Volume (BCM)]]</f>
        <v>0</v>
      </c>
      <c r="T281" s="105" t="str">
        <f>OB_Act[[#This Row],[Day]]&amp;OB_Act[[#This Row],[Dump Truck]]&amp;OB_Act[[#This Row],[Contractor]]&amp;OB_Act[[#This Row],[Excavator]]&amp;OB_Act[[#This Row],[Shift]]</f>
        <v/>
      </c>
      <c r="U281" s="126">
        <f>1/COUNTIF(OB_Act[Dummy_DT/Exc],OB_Act[[#This Row],[Dummy_DT/Exc]])</f>
        <v>4.1841004184100415E-3</v>
      </c>
      <c r="V281" s="126" t="e">
        <f>VLOOKUP(OB_Act[[#This Row],[Day]],$AO$2:$AR$32,4,0)</f>
        <v>#N/A</v>
      </c>
      <c r="W281" s="126" t="e">
        <f>VLOOKUP(OB_Act[[#This Row],[Dump Area]],$AE$2:$AF$51,2,0)</f>
        <v>#N/A</v>
      </c>
      <c r="X281" s="126" t="str">
        <f>OB_Act[[#This Row],[Excavator]]&amp;OB_Act[[#This Row],[Contractor]]</f>
        <v/>
      </c>
      <c r="Y281" s="126" t="e">
        <f>IF(OB_Act[[#This Row],[Material]]="MUD",VLOOKUP(OB_Act[[#This Row],[Dump Truck]],Type_mud[[Nama DT]:[Type]],2,0),VLOOKUP(OB_Act[[#This Row],[Dump Truck]],Type_DT_OB[[Nama DT]:[Type]],4,0))</f>
        <v>#N/A</v>
      </c>
      <c r="Z281" s="126" t="e">
        <f>"JBG-OP1-CENTRAL-"&amp;VLOOKUP(OB_Act[[#This Row],[Pit]],$AK$2:$AL$9,2,0)&amp;"-WASTE-"&amp;OB_Act[[#This Row],[Material]]</f>
        <v>#N/A</v>
      </c>
      <c r="AA281" s="126" t="e">
        <f>"JBG-DUMP1-"&amp;VLOOKUP(OB_Act[[#This Row],[Dump]],$AF$2:$AG$55,2,0)&amp;"-"&amp;OB_Act[[#This Row],[Material]]</f>
        <v>#N/A</v>
      </c>
      <c r="AB281" s="126" t="str">
        <f>"JBG-"&amp;OB_Act[[#This Row],[Material]]</f>
        <v>JBG-</v>
      </c>
    </row>
    <row r="282" spans="13:28">
      <c r="M282" s="105">
        <f>OB_Act[[#This Row],[Volume (BCM)]]*OB_Act[[#This Row],[Distance (Meter)]]</f>
        <v>0</v>
      </c>
      <c r="N282" s="105" t="str">
        <f>LEFT(OB_Act[[#This Row],[Dump Truck]],3)</f>
        <v/>
      </c>
      <c r="O282" s="126" t="str">
        <f>OB_Act[[#This Row],[Day]]&amp;OB_Act[[#This Row],[Excavator]]&amp;OB_Act[[#This Row],[Contractor]]&amp;OB_Act[[#This Row],[Pit]]&amp;OB_Act[[#This Row],[Shift]]</f>
        <v/>
      </c>
      <c r="P282" s="126">
        <f>1/COUNTIF(OB_Act[Dummy_Exc],OB_Act[[#This Row],[Dummy_Exc]])</f>
        <v>4.1841004184100415E-3</v>
      </c>
      <c r="Q282" s="105" t="str">
        <f>OB_Act[[#This Row],[Day]]&amp;OB_Act[[#This Row],[Dump Truck]]&amp;OB_Act[[#This Row],[Pit]]&amp;OB_Act[[#This Row],[Shift]]</f>
        <v/>
      </c>
      <c r="R282" s="126">
        <f>1/COUNTIF(OB_Act[Dummy_DT],OB_Act[[#This Row],[Dummy_DT]])</f>
        <v>4.1841004184100415E-3</v>
      </c>
      <c r="S282" s="126">
        <f>OB_Act[[#This Row],[Distance (Meter)]]*OB_Act[[#This Row],[Volume (BCM)]]</f>
        <v>0</v>
      </c>
      <c r="T282" s="105" t="str">
        <f>OB_Act[[#This Row],[Day]]&amp;OB_Act[[#This Row],[Dump Truck]]&amp;OB_Act[[#This Row],[Contractor]]&amp;OB_Act[[#This Row],[Excavator]]&amp;OB_Act[[#This Row],[Shift]]</f>
        <v/>
      </c>
      <c r="U282" s="126">
        <f>1/COUNTIF(OB_Act[Dummy_DT/Exc],OB_Act[[#This Row],[Dummy_DT/Exc]])</f>
        <v>4.1841004184100415E-3</v>
      </c>
      <c r="V282" s="126" t="e">
        <f>VLOOKUP(OB_Act[[#This Row],[Day]],$AO$2:$AR$32,4,0)</f>
        <v>#N/A</v>
      </c>
      <c r="W282" s="126" t="e">
        <f>VLOOKUP(OB_Act[[#This Row],[Dump Area]],$AE$2:$AF$51,2,0)</f>
        <v>#N/A</v>
      </c>
      <c r="X282" s="126" t="str">
        <f>OB_Act[[#This Row],[Excavator]]&amp;OB_Act[[#This Row],[Contractor]]</f>
        <v/>
      </c>
      <c r="Y282" s="126" t="e">
        <f>IF(OB_Act[[#This Row],[Material]]="MUD",VLOOKUP(OB_Act[[#This Row],[Dump Truck]],Type_mud[[Nama DT]:[Type]],2,0),VLOOKUP(OB_Act[[#This Row],[Dump Truck]],Type_DT_OB[[Nama DT]:[Type]],4,0))</f>
        <v>#N/A</v>
      </c>
      <c r="Z282" s="126" t="e">
        <f>"JBG-OP1-CENTRAL-"&amp;VLOOKUP(OB_Act[[#This Row],[Pit]],$AK$2:$AL$9,2,0)&amp;"-WASTE-"&amp;OB_Act[[#This Row],[Material]]</f>
        <v>#N/A</v>
      </c>
      <c r="AA282" s="126" t="e">
        <f>"JBG-DUMP1-"&amp;VLOOKUP(OB_Act[[#This Row],[Dump]],$AF$2:$AG$55,2,0)&amp;"-"&amp;OB_Act[[#This Row],[Material]]</f>
        <v>#N/A</v>
      </c>
      <c r="AB282" s="126" t="str">
        <f>"JBG-"&amp;OB_Act[[#This Row],[Material]]</f>
        <v>JBG-</v>
      </c>
    </row>
    <row r="283" spans="13:28">
      <c r="M283" s="105">
        <f>OB_Act[[#This Row],[Volume (BCM)]]*OB_Act[[#This Row],[Distance (Meter)]]</f>
        <v>0</v>
      </c>
      <c r="N283" s="105" t="str">
        <f>LEFT(OB_Act[[#This Row],[Dump Truck]],3)</f>
        <v/>
      </c>
      <c r="O283" s="126" t="str">
        <f>OB_Act[[#This Row],[Day]]&amp;OB_Act[[#This Row],[Excavator]]&amp;OB_Act[[#This Row],[Contractor]]&amp;OB_Act[[#This Row],[Pit]]&amp;OB_Act[[#This Row],[Shift]]</f>
        <v/>
      </c>
      <c r="P283" s="126">
        <f>1/COUNTIF(OB_Act[Dummy_Exc],OB_Act[[#This Row],[Dummy_Exc]])</f>
        <v>4.1841004184100415E-3</v>
      </c>
      <c r="Q283" s="105" t="str">
        <f>OB_Act[[#This Row],[Day]]&amp;OB_Act[[#This Row],[Dump Truck]]&amp;OB_Act[[#This Row],[Pit]]&amp;OB_Act[[#This Row],[Shift]]</f>
        <v/>
      </c>
      <c r="R283" s="126">
        <f>1/COUNTIF(OB_Act[Dummy_DT],OB_Act[[#This Row],[Dummy_DT]])</f>
        <v>4.1841004184100415E-3</v>
      </c>
      <c r="S283" s="126">
        <f>OB_Act[[#This Row],[Distance (Meter)]]*OB_Act[[#This Row],[Volume (BCM)]]</f>
        <v>0</v>
      </c>
      <c r="T283" s="105" t="str">
        <f>OB_Act[[#This Row],[Day]]&amp;OB_Act[[#This Row],[Dump Truck]]&amp;OB_Act[[#This Row],[Contractor]]&amp;OB_Act[[#This Row],[Excavator]]&amp;OB_Act[[#This Row],[Shift]]</f>
        <v/>
      </c>
      <c r="U283" s="126">
        <f>1/COUNTIF(OB_Act[Dummy_DT/Exc],OB_Act[[#This Row],[Dummy_DT/Exc]])</f>
        <v>4.1841004184100415E-3</v>
      </c>
      <c r="V283" s="126" t="e">
        <f>VLOOKUP(OB_Act[[#This Row],[Day]],$AO$2:$AR$32,4,0)</f>
        <v>#N/A</v>
      </c>
      <c r="W283" s="126" t="e">
        <f>VLOOKUP(OB_Act[[#This Row],[Dump Area]],$AE$2:$AF$51,2,0)</f>
        <v>#N/A</v>
      </c>
      <c r="X283" s="126" t="str">
        <f>OB_Act[[#This Row],[Excavator]]&amp;OB_Act[[#This Row],[Contractor]]</f>
        <v/>
      </c>
      <c r="Y283" s="126" t="e">
        <f>IF(OB_Act[[#This Row],[Material]]="MUD",VLOOKUP(OB_Act[[#This Row],[Dump Truck]],Type_mud[[Nama DT]:[Type]],2,0),VLOOKUP(OB_Act[[#This Row],[Dump Truck]],Type_DT_OB[[Nama DT]:[Type]],4,0))</f>
        <v>#N/A</v>
      </c>
      <c r="Z283" s="126" t="e">
        <f>"JBG-OP1-CENTRAL-"&amp;VLOOKUP(OB_Act[[#This Row],[Pit]],$AK$2:$AL$9,2,0)&amp;"-WASTE-"&amp;OB_Act[[#This Row],[Material]]</f>
        <v>#N/A</v>
      </c>
      <c r="AA283" s="126" t="e">
        <f>"JBG-DUMP1-"&amp;VLOOKUP(OB_Act[[#This Row],[Dump]],$AF$2:$AG$55,2,0)&amp;"-"&amp;OB_Act[[#This Row],[Material]]</f>
        <v>#N/A</v>
      </c>
      <c r="AB283" s="126" t="str">
        <f>"JBG-"&amp;OB_Act[[#This Row],[Material]]</f>
        <v>JBG-</v>
      </c>
    </row>
    <row r="284" spans="13:28">
      <c r="M284" s="105">
        <f>OB_Act[[#This Row],[Volume (BCM)]]*OB_Act[[#This Row],[Distance (Meter)]]</f>
        <v>0</v>
      </c>
      <c r="N284" s="105" t="str">
        <f>LEFT(OB_Act[[#This Row],[Dump Truck]],3)</f>
        <v/>
      </c>
      <c r="O284" s="126" t="str">
        <f>OB_Act[[#This Row],[Day]]&amp;OB_Act[[#This Row],[Excavator]]&amp;OB_Act[[#This Row],[Contractor]]&amp;OB_Act[[#This Row],[Pit]]&amp;OB_Act[[#This Row],[Shift]]</f>
        <v/>
      </c>
      <c r="P284" s="126">
        <f>1/COUNTIF(OB_Act[Dummy_Exc],OB_Act[[#This Row],[Dummy_Exc]])</f>
        <v>4.1841004184100415E-3</v>
      </c>
      <c r="Q284" s="105" t="str">
        <f>OB_Act[[#This Row],[Day]]&amp;OB_Act[[#This Row],[Dump Truck]]&amp;OB_Act[[#This Row],[Pit]]&amp;OB_Act[[#This Row],[Shift]]</f>
        <v/>
      </c>
      <c r="R284" s="126">
        <f>1/COUNTIF(OB_Act[Dummy_DT],OB_Act[[#This Row],[Dummy_DT]])</f>
        <v>4.1841004184100415E-3</v>
      </c>
      <c r="S284" s="126">
        <f>OB_Act[[#This Row],[Distance (Meter)]]*OB_Act[[#This Row],[Volume (BCM)]]</f>
        <v>0</v>
      </c>
      <c r="T284" s="105" t="str">
        <f>OB_Act[[#This Row],[Day]]&amp;OB_Act[[#This Row],[Dump Truck]]&amp;OB_Act[[#This Row],[Contractor]]&amp;OB_Act[[#This Row],[Excavator]]&amp;OB_Act[[#This Row],[Shift]]</f>
        <v/>
      </c>
      <c r="U284" s="126">
        <f>1/COUNTIF(OB_Act[Dummy_DT/Exc],OB_Act[[#This Row],[Dummy_DT/Exc]])</f>
        <v>4.1841004184100415E-3</v>
      </c>
      <c r="V284" s="126" t="e">
        <f>VLOOKUP(OB_Act[[#This Row],[Day]],$AO$2:$AR$32,4,0)</f>
        <v>#N/A</v>
      </c>
      <c r="W284" s="126" t="e">
        <f>VLOOKUP(OB_Act[[#This Row],[Dump Area]],$AE$2:$AF$51,2,0)</f>
        <v>#N/A</v>
      </c>
      <c r="X284" s="126" t="str">
        <f>OB_Act[[#This Row],[Excavator]]&amp;OB_Act[[#This Row],[Contractor]]</f>
        <v/>
      </c>
      <c r="Y284" s="126" t="e">
        <f>IF(OB_Act[[#This Row],[Material]]="MUD",VLOOKUP(OB_Act[[#This Row],[Dump Truck]],Type_mud[[Nama DT]:[Type]],2,0),VLOOKUP(OB_Act[[#This Row],[Dump Truck]],Type_DT_OB[[Nama DT]:[Type]],4,0))</f>
        <v>#N/A</v>
      </c>
      <c r="Z284" s="126" t="e">
        <f>"JBG-OP1-CENTRAL-"&amp;VLOOKUP(OB_Act[[#This Row],[Pit]],$AK$2:$AL$9,2,0)&amp;"-WASTE-"&amp;OB_Act[[#This Row],[Material]]</f>
        <v>#N/A</v>
      </c>
      <c r="AA284" s="126" t="e">
        <f>"JBG-DUMP1-"&amp;VLOOKUP(OB_Act[[#This Row],[Dump]],$AF$2:$AG$55,2,0)&amp;"-"&amp;OB_Act[[#This Row],[Material]]</f>
        <v>#N/A</v>
      </c>
      <c r="AB284" s="126" t="str">
        <f>"JBG-"&amp;OB_Act[[#This Row],[Material]]</f>
        <v>JBG-</v>
      </c>
    </row>
    <row r="285" spans="13:28">
      <c r="M285" s="105">
        <f>OB_Act[[#This Row],[Volume (BCM)]]*OB_Act[[#This Row],[Distance (Meter)]]</f>
        <v>0</v>
      </c>
      <c r="N285" s="105" t="str">
        <f>LEFT(OB_Act[[#This Row],[Dump Truck]],3)</f>
        <v/>
      </c>
      <c r="O285" s="126" t="str">
        <f>OB_Act[[#This Row],[Day]]&amp;OB_Act[[#This Row],[Excavator]]&amp;OB_Act[[#This Row],[Contractor]]&amp;OB_Act[[#This Row],[Pit]]&amp;OB_Act[[#This Row],[Shift]]</f>
        <v/>
      </c>
      <c r="P285" s="126">
        <f>1/COUNTIF(OB_Act[Dummy_Exc],OB_Act[[#This Row],[Dummy_Exc]])</f>
        <v>4.1841004184100415E-3</v>
      </c>
      <c r="Q285" s="105" t="str">
        <f>OB_Act[[#This Row],[Day]]&amp;OB_Act[[#This Row],[Dump Truck]]&amp;OB_Act[[#This Row],[Pit]]&amp;OB_Act[[#This Row],[Shift]]</f>
        <v/>
      </c>
      <c r="R285" s="126">
        <f>1/COUNTIF(OB_Act[Dummy_DT],OB_Act[[#This Row],[Dummy_DT]])</f>
        <v>4.1841004184100415E-3</v>
      </c>
      <c r="S285" s="126">
        <f>OB_Act[[#This Row],[Distance (Meter)]]*OB_Act[[#This Row],[Volume (BCM)]]</f>
        <v>0</v>
      </c>
      <c r="T285" s="105" t="str">
        <f>OB_Act[[#This Row],[Day]]&amp;OB_Act[[#This Row],[Dump Truck]]&amp;OB_Act[[#This Row],[Contractor]]&amp;OB_Act[[#This Row],[Excavator]]&amp;OB_Act[[#This Row],[Shift]]</f>
        <v/>
      </c>
      <c r="U285" s="126">
        <f>1/COUNTIF(OB_Act[Dummy_DT/Exc],OB_Act[[#This Row],[Dummy_DT/Exc]])</f>
        <v>4.1841004184100415E-3</v>
      </c>
      <c r="V285" s="126" t="e">
        <f>VLOOKUP(OB_Act[[#This Row],[Day]],$AO$2:$AR$32,4,0)</f>
        <v>#N/A</v>
      </c>
      <c r="W285" s="126" t="e">
        <f>VLOOKUP(OB_Act[[#This Row],[Dump Area]],$AE$2:$AF$51,2,0)</f>
        <v>#N/A</v>
      </c>
      <c r="X285" s="126" t="str">
        <f>OB_Act[[#This Row],[Excavator]]&amp;OB_Act[[#This Row],[Contractor]]</f>
        <v/>
      </c>
      <c r="Y285" s="126" t="e">
        <f>IF(OB_Act[[#This Row],[Material]]="MUD",VLOOKUP(OB_Act[[#This Row],[Dump Truck]],Type_mud[[Nama DT]:[Type]],2,0),VLOOKUP(OB_Act[[#This Row],[Dump Truck]],Type_DT_OB[[Nama DT]:[Type]],4,0))</f>
        <v>#N/A</v>
      </c>
      <c r="Z285" s="126" t="e">
        <f>"JBG-OP1-CENTRAL-"&amp;VLOOKUP(OB_Act[[#This Row],[Pit]],$AK$2:$AL$9,2,0)&amp;"-WASTE-"&amp;OB_Act[[#This Row],[Material]]</f>
        <v>#N/A</v>
      </c>
      <c r="AA285" s="126" t="e">
        <f>"JBG-DUMP1-"&amp;VLOOKUP(OB_Act[[#This Row],[Dump]],$AF$2:$AG$55,2,0)&amp;"-"&amp;OB_Act[[#This Row],[Material]]</f>
        <v>#N/A</v>
      </c>
      <c r="AB285" s="126" t="str">
        <f>"JBG-"&amp;OB_Act[[#This Row],[Material]]</f>
        <v>JBG-</v>
      </c>
    </row>
    <row r="286" spans="13:28">
      <c r="M286" s="105">
        <f>OB_Act[[#This Row],[Volume (BCM)]]*OB_Act[[#This Row],[Distance (Meter)]]</f>
        <v>0</v>
      </c>
      <c r="N286" s="105" t="str">
        <f>LEFT(OB_Act[[#This Row],[Dump Truck]],3)</f>
        <v/>
      </c>
      <c r="O286" s="126" t="str">
        <f>OB_Act[[#This Row],[Day]]&amp;OB_Act[[#This Row],[Excavator]]&amp;OB_Act[[#This Row],[Contractor]]&amp;OB_Act[[#This Row],[Pit]]&amp;OB_Act[[#This Row],[Shift]]</f>
        <v/>
      </c>
      <c r="P286" s="126">
        <f>1/COUNTIF(OB_Act[Dummy_Exc],OB_Act[[#This Row],[Dummy_Exc]])</f>
        <v>4.1841004184100415E-3</v>
      </c>
      <c r="Q286" s="105" t="str">
        <f>OB_Act[[#This Row],[Day]]&amp;OB_Act[[#This Row],[Dump Truck]]&amp;OB_Act[[#This Row],[Pit]]&amp;OB_Act[[#This Row],[Shift]]</f>
        <v/>
      </c>
      <c r="R286" s="126">
        <f>1/COUNTIF(OB_Act[Dummy_DT],OB_Act[[#This Row],[Dummy_DT]])</f>
        <v>4.1841004184100415E-3</v>
      </c>
      <c r="S286" s="126">
        <f>OB_Act[[#This Row],[Distance (Meter)]]*OB_Act[[#This Row],[Volume (BCM)]]</f>
        <v>0</v>
      </c>
      <c r="T286" s="105" t="str">
        <f>OB_Act[[#This Row],[Day]]&amp;OB_Act[[#This Row],[Dump Truck]]&amp;OB_Act[[#This Row],[Contractor]]&amp;OB_Act[[#This Row],[Excavator]]&amp;OB_Act[[#This Row],[Shift]]</f>
        <v/>
      </c>
      <c r="U286" s="126">
        <f>1/COUNTIF(OB_Act[Dummy_DT/Exc],OB_Act[[#This Row],[Dummy_DT/Exc]])</f>
        <v>4.1841004184100415E-3</v>
      </c>
      <c r="V286" s="126" t="e">
        <f>VLOOKUP(OB_Act[[#This Row],[Day]],$AO$2:$AR$32,4,0)</f>
        <v>#N/A</v>
      </c>
      <c r="W286" s="126" t="e">
        <f>VLOOKUP(OB_Act[[#This Row],[Dump Area]],$AE$2:$AF$51,2,0)</f>
        <v>#N/A</v>
      </c>
      <c r="X286" s="126" t="str">
        <f>OB_Act[[#This Row],[Excavator]]&amp;OB_Act[[#This Row],[Contractor]]</f>
        <v/>
      </c>
      <c r="Y286" s="126" t="e">
        <f>IF(OB_Act[[#This Row],[Material]]="MUD",VLOOKUP(OB_Act[[#This Row],[Dump Truck]],Type_mud[[Nama DT]:[Type]],2,0),VLOOKUP(OB_Act[[#This Row],[Dump Truck]],Type_DT_OB[[Nama DT]:[Type]],4,0))</f>
        <v>#N/A</v>
      </c>
      <c r="Z286" s="126" t="e">
        <f>"JBG-OP1-CENTRAL-"&amp;VLOOKUP(OB_Act[[#This Row],[Pit]],$AK$2:$AL$9,2,0)&amp;"-WASTE-"&amp;OB_Act[[#This Row],[Material]]</f>
        <v>#N/A</v>
      </c>
      <c r="AA286" s="126" t="e">
        <f>"JBG-DUMP1-"&amp;VLOOKUP(OB_Act[[#This Row],[Dump]],$AF$2:$AG$55,2,0)&amp;"-"&amp;OB_Act[[#This Row],[Material]]</f>
        <v>#N/A</v>
      </c>
      <c r="AB286" s="126" t="str">
        <f>"JBG-"&amp;OB_Act[[#This Row],[Material]]</f>
        <v>JBG-</v>
      </c>
    </row>
    <row r="287" spans="13:28">
      <c r="M287" s="105">
        <f>OB_Act[[#This Row],[Volume (BCM)]]*OB_Act[[#This Row],[Distance (Meter)]]</f>
        <v>0</v>
      </c>
      <c r="N287" s="105" t="str">
        <f>LEFT(OB_Act[[#This Row],[Dump Truck]],3)</f>
        <v/>
      </c>
      <c r="O287" s="126" t="str">
        <f>OB_Act[[#This Row],[Day]]&amp;OB_Act[[#This Row],[Excavator]]&amp;OB_Act[[#This Row],[Contractor]]&amp;OB_Act[[#This Row],[Pit]]&amp;OB_Act[[#This Row],[Shift]]</f>
        <v/>
      </c>
      <c r="P287" s="126">
        <f>1/COUNTIF(OB_Act[Dummy_Exc],OB_Act[[#This Row],[Dummy_Exc]])</f>
        <v>4.1841004184100415E-3</v>
      </c>
      <c r="Q287" s="105" t="str">
        <f>OB_Act[[#This Row],[Day]]&amp;OB_Act[[#This Row],[Dump Truck]]&amp;OB_Act[[#This Row],[Pit]]&amp;OB_Act[[#This Row],[Shift]]</f>
        <v/>
      </c>
      <c r="R287" s="126">
        <f>1/COUNTIF(OB_Act[Dummy_DT],OB_Act[[#This Row],[Dummy_DT]])</f>
        <v>4.1841004184100415E-3</v>
      </c>
      <c r="S287" s="126">
        <f>OB_Act[[#This Row],[Distance (Meter)]]*OB_Act[[#This Row],[Volume (BCM)]]</f>
        <v>0</v>
      </c>
      <c r="T287" s="105" t="str">
        <f>OB_Act[[#This Row],[Day]]&amp;OB_Act[[#This Row],[Dump Truck]]&amp;OB_Act[[#This Row],[Contractor]]&amp;OB_Act[[#This Row],[Excavator]]&amp;OB_Act[[#This Row],[Shift]]</f>
        <v/>
      </c>
      <c r="U287" s="126">
        <f>1/COUNTIF(OB_Act[Dummy_DT/Exc],OB_Act[[#This Row],[Dummy_DT/Exc]])</f>
        <v>4.1841004184100415E-3</v>
      </c>
      <c r="V287" s="126" t="e">
        <f>VLOOKUP(OB_Act[[#This Row],[Day]],$AO$2:$AR$32,4,0)</f>
        <v>#N/A</v>
      </c>
      <c r="W287" s="126" t="e">
        <f>VLOOKUP(OB_Act[[#This Row],[Dump Area]],$AE$2:$AF$51,2,0)</f>
        <v>#N/A</v>
      </c>
      <c r="X287" s="126" t="str">
        <f>OB_Act[[#This Row],[Excavator]]&amp;OB_Act[[#This Row],[Contractor]]</f>
        <v/>
      </c>
      <c r="Y287" s="126" t="e">
        <f>IF(OB_Act[[#This Row],[Material]]="MUD",VLOOKUP(OB_Act[[#This Row],[Dump Truck]],Type_mud[[Nama DT]:[Type]],2,0),VLOOKUP(OB_Act[[#This Row],[Dump Truck]],Type_DT_OB[[Nama DT]:[Type]],4,0))</f>
        <v>#N/A</v>
      </c>
      <c r="Z287" s="126" t="e">
        <f>"JBG-OP1-CENTRAL-"&amp;VLOOKUP(OB_Act[[#This Row],[Pit]],$AK$2:$AL$9,2,0)&amp;"-WASTE-"&amp;OB_Act[[#This Row],[Material]]</f>
        <v>#N/A</v>
      </c>
      <c r="AA287" s="126" t="e">
        <f>"JBG-DUMP1-"&amp;VLOOKUP(OB_Act[[#This Row],[Dump]],$AF$2:$AG$55,2,0)&amp;"-"&amp;OB_Act[[#This Row],[Material]]</f>
        <v>#N/A</v>
      </c>
      <c r="AB287" s="126" t="str">
        <f>"JBG-"&amp;OB_Act[[#This Row],[Material]]</f>
        <v>JBG-</v>
      </c>
    </row>
    <row r="288" spans="13:28">
      <c r="M288" s="105">
        <f>OB_Act[[#This Row],[Volume (BCM)]]*OB_Act[[#This Row],[Distance (Meter)]]</f>
        <v>0</v>
      </c>
      <c r="N288" s="105" t="str">
        <f>LEFT(OB_Act[[#This Row],[Dump Truck]],3)</f>
        <v/>
      </c>
      <c r="O288" s="126" t="str">
        <f>OB_Act[[#This Row],[Day]]&amp;OB_Act[[#This Row],[Excavator]]&amp;OB_Act[[#This Row],[Contractor]]&amp;OB_Act[[#This Row],[Pit]]&amp;OB_Act[[#This Row],[Shift]]</f>
        <v/>
      </c>
      <c r="P288" s="126">
        <f>1/COUNTIF(OB_Act[Dummy_Exc],OB_Act[[#This Row],[Dummy_Exc]])</f>
        <v>4.1841004184100415E-3</v>
      </c>
      <c r="Q288" s="105" t="str">
        <f>OB_Act[[#This Row],[Day]]&amp;OB_Act[[#This Row],[Dump Truck]]&amp;OB_Act[[#This Row],[Pit]]&amp;OB_Act[[#This Row],[Shift]]</f>
        <v/>
      </c>
      <c r="R288" s="126">
        <f>1/COUNTIF(OB_Act[Dummy_DT],OB_Act[[#This Row],[Dummy_DT]])</f>
        <v>4.1841004184100415E-3</v>
      </c>
      <c r="S288" s="126">
        <f>OB_Act[[#This Row],[Distance (Meter)]]*OB_Act[[#This Row],[Volume (BCM)]]</f>
        <v>0</v>
      </c>
      <c r="T288" s="105" t="str">
        <f>OB_Act[[#This Row],[Day]]&amp;OB_Act[[#This Row],[Dump Truck]]&amp;OB_Act[[#This Row],[Contractor]]&amp;OB_Act[[#This Row],[Excavator]]&amp;OB_Act[[#This Row],[Shift]]</f>
        <v/>
      </c>
      <c r="U288" s="126">
        <f>1/COUNTIF(OB_Act[Dummy_DT/Exc],OB_Act[[#This Row],[Dummy_DT/Exc]])</f>
        <v>4.1841004184100415E-3</v>
      </c>
      <c r="V288" s="126" t="e">
        <f>VLOOKUP(OB_Act[[#This Row],[Day]],$AO$2:$AR$32,4,0)</f>
        <v>#N/A</v>
      </c>
      <c r="W288" s="126" t="e">
        <f>VLOOKUP(OB_Act[[#This Row],[Dump Area]],$AE$2:$AF$51,2,0)</f>
        <v>#N/A</v>
      </c>
      <c r="X288" s="126" t="str">
        <f>OB_Act[[#This Row],[Excavator]]&amp;OB_Act[[#This Row],[Contractor]]</f>
        <v/>
      </c>
      <c r="Y288" s="126" t="e">
        <f>IF(OB_Act[[#This Row],[Material]]="MUD",VLOOKUP(OB_Act[[#This Row],[Dump Truck]],Type_mud[[Nama DT]:[Type]],2,0),VLOOKUP(OB_Act[[#This Row],[Dump Truck]],Type_DT_OB[[Nama DT]:[Type]],4,0))</f>
        <v>#N/A</v>
      </c>
      <c r="Z288" s="126" t="e">
        <f>"JBG-OP1-CENTRAL-"&amp;VLOOKUP(OB_Act[[#This Row],[Pit]],$AK$2:$AL$9,2,0)&amp;"-WASTE-"&amp;OB_Act[[#This Row],[Material]]</f>
        <v>#N/A</v>
      </c>
      <c r="AA288" s="126" t="e">
        <f>"JBG-DUMP1-"&amp;VLOOKUP(OB_Act[[#This Row],[Dump]],$AF$2:$AG$55,2,0)&amp;"-"&amp;OB_Act[[#This Row],[Material]]</f>
        <v>#N/A</v>
      </c>
      <c r="AB288" s="126" t="str">
        <f>"JBG-"&amp;OB_Act[[#This Row],[Material]]</f>
        <v>JBG-</v>
      </c>
    </row>
    <row r="289" spans="13:28">
      <c r="M289" s="105">
        <f>OB_Act[[#This Row],[Volume (BCM)]]*OB_Act[[#This Row],[Distance (Meter)]]</f>
        <v>0</v>
      </c>
      <c r="N289" s="105" t="str">
        <f>LEFT(OB_Act[[#This Row],[Dump Truck]],3)</f>
        <v/>
      </c>
      <c r="O289" s="126" t="str">
        <f>OB_Act[[#This Row],[Day]]&amp;OB_Act[[#This Row],[Excavator]]&amp;OB_Act[[#This Row],[Contractor]]&amp;OB_Act[[#This Row],[Pit]]&amp;OB_Act[[#This Row],[Shift]]</f>
        <v/>
      </c>
      <c r="P289" s="126">
        <f>1/COUNTIF(OB_Act[Dummy_Exc],OB_Act[[#This Row],[Dummy_Exc]])</f>
        <v>4.1841004184100415E-3</v>
      </c>
      <c r="Q289" s="105" t="str">
        <f>OB_Act[[#This Row],[Day]]&amp;OB_Act[[#This Row],[Dump Truck]]&amp;OB_Act[[#This Row],[Pit]]&amp;OB_Act[[#This Row],[Shift]]</f>
        <v/>
      </c>
      <c r="R289" s="126">
        <f>1/COUNTIF(OB_Act[Dummy_DT],OB_Act[[#This Row],[Dummy_DT]])</f>
        <v>4.1841004184100415E-3</v>
      </c>
      <c r="S289" s="126">
        <f>OB_Act[[#This Row],[Distance (Meter)]]*OB_Act[[#This Row],[Volume (BCM)]]</f>
        <v>0</v>
      </c>
      <c r="T289" s="105" t="str">
        <f>OB_Act[[#This Row],[Day]]&amp;OB_Act[[#This Row],[Dump Truck]]&amp;OB_Act[[#This Row],[Contractor]]&amp;OB_Act[[#This Row],[Excavator]]&amp;OB_Act[[#This Row],[Shift]]</f>
        <v/>
      </c>
      <c r="U289" s="126">
        <f>1/COUNTIF(OB_Act[Dummy_DT/Exc],OB_Act[[#This Row],[Dummy_DT/Exc]])</f>
        <v>4.1841004184100415E-3</v>
      </c>
      <c r="V289" s="126" t="e">
        <f>VLOOKUP(OB_Act[[#This Row],[Day]],$AO$2:$AR$32,4,0)</f>
        <v>#N/A</v>
      </c>
      <c r="W289" s="126" t="e">
        <f>VLOOKUP(OB_Act[[#This Row],[Dump Area]],$AE$2:$AF$51,2,0)</f>
        <v>#N/A</v>
      </c>
      <c r="X289" s="126" t="str">
        <f>OB_Act[[#This Row],[Excavator]]&amp;OB_Act[[#This Row],[Contractor]]</f>
        <v/>
      </c>
      <c r="Y289" s="126" t="e">
        <f>IF(OB_Act[[#This Row],[Material]]="MUD",VLOOKUP(OB_Act[[#This Row],[Dump Truck]],Type_mud[[Nama DT]:[Type]],2,0),VLOOKUP(OB_Act[[#This Row],[Dump Truck]],Type_DT_OB[[Nama DT]:[Type]],4,0))</f>
        <v>#N/A</v>
      </c>
      <c r="Z289" s="126" t="e">
        <f>"JBG-OP1-CENTRAL-"&amp;VLOOKUP(OB_Act[[#This Row],[Pit]],$AK$2:$AL$9,2,0)&amp;"-WASTE-"&amp;OB_Act[[#This Row],[Material]]</f>
        <v>#N/A</v>
      </c>
      <c r="AA289" s="126" t="e">
        <f>"JBG-DUMP1-"&amp;VLOOKUP(OB_Act[[#This Row],[Dump]],$AF$2:$AG$55,2,0)&amp;"-"&amp;OB_Act[[#This Row],[Material]]</f>
        <v>#N/A</v>
      </c>
      <c r="AB289" s="126" t="str">
        <f>"JBG-"&amp;OB_Act[[#This Row],[Material]]</f>
        <v>JBG-</v>
      </c>
    </row>
    <row r="290" spans="13:28">
      <c r="M290" s="105">
        <f>OB_Act[[#This Row],[Volume (BCM)]]*OB_Act[[#This Row],[Distance (Meter)]]</f>
        <v>0</v>
      </c>
      <c r="N290" s="105" t="str">
        <f>LEFT(OB_Act[[#This Row],[Dump Truck]],3)</f>
        <v/>
      </c>
      <c r="O290" s="126" t="str">
        <f>OB_Act[[#This Row],[Day]]&amp;OB_Act[[#This Row],[Excavator]]&amp;OB_Act[[#This Row],[Contractor]]&amp;OB_Act[[#This Row],[Pit]]&amp;OB_Act[[#This Row],[Shift]]</f>
        <v/>
      </c>
      <c r="P290" s="126">
        <f>1/COUNTIF(OB_Act[Dummy_Exc],OB_Act[[#This Row],[Dummy_Exc]])</f>
        <v>4.1841004184100415E-3</v>
      </c>
      <c r="Q290" s="105" t="str">
        <f>OB_Act[[#This Row],[Day]]&amp;OB_Act[[#This Row],[Dump Truck]]&amp;OB_Act[[#This Row],[Pit]]&amp;OB_Act[[#This Row],[Shift]]</f>
        <v/>
      </c>
      <c r="R290" s="126">
        <f>1/COUNTIF(OB_Act[Dummy_DT],OB_Act[[#This Row],[Dummy_DT]])</f>
        <v>4.1841004184100415E-3</v>
      </c>
      <c r="S290" s="126">
        <f>OB_Act[[#This Row],[Distance (Meter)]]*OB_Act[[#This Row],[Volume (BCM)]]</f>
        <v>0</v>
      </c>
      <c r="T290" s="105" t="str">
        <f>OB_Act[[#This Row],[Day]]&amp;OB_Act[[#This Row],[Dump Truck]]&amp;OB_Act[[#This Row],[Contractor]]&amp;OB_Act[[#This Row],[Excavator]]&amp;OB_Act[[#This Row],[Shift]]</f>
        <v/>
      </c>
      <c r="U290" s="126">
        <f>1/COUNTIF(OB_Act[Dummy_DT/Exc],OB_Act[[#This Row],[Dummy_DT/Exc]])</f>
        <v>4.1841004184100415E-3</v>
      </c>
      <c r="V290" s="126" t="e">
        <f>VLOOKUP(OB_Act[[#This Row],[Day]],$AO$2:$AR$32,4,0)</f>
        <v>#N/A</v>
      </c>
      <c r="W290" s="126" t="e">
        <f>VLOOKUP(OB_Act[[#This Row],[Dump Area]],$AE$2:$AF$51,2,0)</f>
        <v>#N/A</v>
      </c>
      <c r="X290" s="126" t="str">
        <f>OB_Act[[#This Row],[Excavator]]&amp;OB_Act[[#This Row],[Contractor]]</f>
        <v/>
      </c>
      <c r="Y290" s="126" t="e">
        <f>IF(OB_Act[[#This Row],[Material]]="MUD",VLOOKUP(OB_Act[[#This Row],[Dump Truck]],Type_mud[[Nama DT]:[Type]],2,0),VLOOKUP(OB_Act[[#This Row],[Dump Truck]],Type_DT_OB[[Nama DT]:[Type]],4,0))</f>
        <v>#N/A</v>
      </c>
      <c r="Z290" s="126" t="e">
        <f>"JBG-OP1-CENTRAL-"&amp;VLOOKUP(OB_Act[[#This Row],[Pit]],$AK$2:$AL$9,2,0)&amp;"-WASTE-"&amp;OB_Act[[#This Row],[Material]]</f>
        <v>#N/A</v>
      </c>
      <c r="AA290" s="126" t="e">
        <f>"JBG-DUMP1-"&amp;VLOOKUP(OB_Act[[#This Row],[Dump]],$AF$2:$AG$55,2,0)&amp;"-"&amp;OB_Act[[#This Row],[Material]]</f>
        <v>#N/A</v>
      </c>
      <c r="AB290" s="126" t="str">
        <f>"JBG-"&amp;OB_Act[[#This Row],[Material]]</f>
        <v>JBG-</v>
      </c>
    </row>
    <row r="291" spans="13:28">
      <c r="M291" s="105">
        <f>OB_Act[[#This Row],[Volume (BCM)]]*OB_Act[[#This Row],[Distance (Meter)]]</f>
        <v>0</v>
      </c>
      <c r="N291" s="105" t="str">
        <f>LEFT(OB_Act[[#This Row],[Dump Truck]],3)</f>
        <v/>
      </c>
      <c r="O291" s="126" t="str">
        <f>OB_Act[[#This Row],[Day]]&amp;OB_Act[[#This Row],[Excavator]]&amp;OB_Act[[#This Row],[Contractor]]&amp;OB_Act[[#This Row],[Pit]]&amp;OB_Act[[#This Row],[Shift]]</f>
        <v/>
      </c>
      <c r="P291" s="126">
        <f>1/COUNTIF(OB_Act[Dummy_Exc],OB_Act[[#This Row],[Dummy_Exc]])</f>
        <v>4.1841004184100415E-3</v>
      </c>
      <c r="Q291" s="105" t="str">
        <f>OB_Act[[#This Row],[Day]]&amp;OB_Act[[#This Row],[Dump Truck]]&amp;OB_Act[[#This Row],[Pit]]&amp;OB_Act[[#This Row],[Shift]]</f>
        <v/>
      </c>
      <c r="R291" s="126">
        <f>1/COUNTIF(OB_Act[Dummy_DT],OB_Act[[#This Row],[Dummy_DT]])</f>
        <v>4.1841004184100415E-3</v>
      </c>
      <c r="S291" s="126">
        <f>OB_Act[[#This Row],[Distance (Meter)]]*OB_Act[[#This Row],[Volume (BCM)]]</f>
        <v>0</v>
      </c>
      <c r="T291" s="105" t="str">
        <f>OB_Act[[#This Row],[Day]]&amp;OB_Act[[#This Row],[Dump Truck]]&amp;OB_Act[[#This Row],[Contractor]]&amp;OB_Act[[#This Row],[Excavator]]&amp;OB_Act[[#This Row],[Shift]]</f>
        <v/>
      </c>
      <c r="U291" s="126">
        <f>1/COUNTIF(OB_Act[Dummy_DT/Exc],OB_Act[[#This Row],[Dummy_DT/Exc]])</f>
        <v>4.1841004184100415E-3</v>
      </c>
      <c r="V291" s="126" t="e">
        <f>VLOOKUP(OB_Act[[#This Row],[Day]],$AO$2:$AR$32,4,0)</f>
        <v>#N/A</v>
      </c>
      <c r="W291" s="126" t="e">
        <f>VLOOKUP(OB_Act[[#This Row],[Dump Area]],$AE$2:$AF$51,2,0)</f>
        <v>#N/A</v>
      </c>
      <c r="X291" s="126" t="str">
        <f>OB_Act[[#This Row],[Excavator]]&amp;OB_Act[[#This Row],[Contractor]]</f>
        <v/>
      </c>
      <c r="Y291" s="126" t="e">
        <f>IF(OB_Act[[#This Row],[Material]]="MUD",VLOOKUP(OB_Act[[#This Row],[Dump Truck]],Type_mud[[Nama DT]:[Type]],2,0),VLOOKUP(OB_Act[[#This Row],[Dump Truck]],Type_DT_OB[[Nama DT]:[Type]],4,0))</f>
        <v>#N/A</v>
      </c>
      <c r="Z291" s="126" t="e">
        <f>"JBG-OP1-CENTRAL-"&amp;VLOOKUP(OB_Act[[#This Row],[Pit]],$AK$2:$AL$9,2,0)&amp;"-WASTE-"&amp;OB_Act[[#This Row],[Material]]</f>
        <v>#N/A</v>
      </c>
      <c r="AA291" s="126" t="e">
        <f>"JBG-DUMP1-"&amp;VLOOKUP(OB_Act[[#This Row],[Dump]],$AF$2:$AG$55,2,0)&amp;"-"&amp;OB_Act[[#This Row],[Material]]</f>
        <v>#N/A</v>
      </c>
      <c r="AB291" s="126" t="str">
        <f>"JBG-"&amp;OB_Act[[#This Row],[Material]]</f>
        <v>JBG-</v>
      </c>
    </row>
    <row r="292" spans="13:28">
      <c r="M292" s="105">
        <f>OB_Act[[#This Row],[Volume (BCM)]]*OB_Act[[#This Row],[Distance (Meter)]]</f>
        <v>0</v>
      </c>
      <c r="N292" s="105" t="str">
        <f>LEFT(OB_Act[[#This Row],[Dump Truck]],3)</f>
        <v/>
      </c>
      <c r="O292" s="126" t="str">
        <f>OB_Act[[#This Row],[Day]]&amp;OB_Act[[#This Row],[Excavator]]&amp;OB_Act[[#This Row],[Contractor]]&amp;OB_Act[[#This Row],[Pit]]&amp;OB_Act[[#This Row],[Shift]]</f>
        <v/>
      </c>
      <c r="P292" s="126">
        <f>1/COUNTIF(OB_Act[Dummy_Exc],OB_Act[[#This Row],[Dummy_Exc]])</f>
        <v>4.1841004184100415E-3</v>
      </c>
      <c r="Q292" s="105" t="str">
        <f>OB_Act[[#This Row],[Day]]&amp;OB_Act[[#This Row],[Dump Truck]]&amp;OB_Act[[#This Row],[Pit]]&amp;OB_Act[[#This Row],[Shift]]</f>
        <v/>
      </c>
      <c r="R292" s="126">
        <f>1/COUNTIF(OB_Act[Dummy_DT],OB_Act[[#This Row],[Dummy_DT]])</f>
        <v>4.1841004184100415E-3</v>
      </c>
      <c r="S292" s="126">
        <f>OB_Act[[#This Row],[Distance (Meter)]]*OB_Act[[#This Row],[Volume (BCM)]]</f>
        <v>0</v>
      </c>
      <c r="T292" s="105" t="str">
        <f>OB_Act[[#This Row],[Day]]&amp;OB_Act[[#This Row],[Dump Truck]]&amp;OB_Act[[#This Row],[Contractor]]&amp;OB_Act[[#This Row],[Excavator]]&amp;OB_Act[[#This Row],[Shift]]</f>
        <v/>
      </c>
      <c r="U292" s="126">
        <f>1/COUNTIF(OB_Act[Dummy_DT/Exc],OB_Act[[#This Row],[Dummy_DT/Exc]])</f>
        <v>4.1841004184100415E-3</v>
      </c>
      <c r="V292" s="126" t="e">
        <f>VLOOKUP(OB_Act[[#This Row],[Day]],$AO$2:$AR$32,4,0)</f>
        <v>#N/A</v>
      </c>
      <c r="W292" s="126" t="e">
        <f>VLOOKUP(OB_Act[[#This Row],[Dump Area]],$AE$2:$AF$51,2,0)</f>
        <v>#N/A</v>
      </c>
      <c r="X292" s="126" t="str">
        <f>OB_Act[[#This Row],[Excavator]]&amp;OB_Act[[#This Row],[Contractor]]</f>
        <v/>
      </c>
      <c r="Y292" s="126" t="e">
        <f>IF(OB_Act[[#This Row],[Material]]="MUD",VLOOKUP(OB_Act[[#This Row],[Dump Truck]],Type_mud[[Nama DT]:[Type]],2,0),VLOOKUP(OB_Act[[#This Row],[Dump Truck]],Type_DT_OB[[Nama DT]:[Type]],4,0))</f>
        <v>#N/A</v>
      </c>
      <c r="Z292" s="126" t="e">
        <f>"JBG-OP1-CENTRAL-"&amp;VLOOKUP(OB_Act[[#This Row],[Pit]],$AK$2:$AL$9,2,0)&amp;"-WASTE-"&amp;OB_Act[[#This Row],[Material]]</f>
        <v>#N/A</v>
      </c>
      <c r="AA292" s="126" t="e">
        <f>"JBG-DUMP1-"&amp;VLOOKUP(OB_Act[[#This Row],[Dump]],$AF$2:$AG$55,2,0)&amp;"-"&amp;OB_Act[[#This Row],[Material]]</f>
        <v>#N/A</v>
      </c>
      <c r="AB292" s="126" t="str">
        <f>"JBG-"&amp;OB_Act[[#This Row],[Material]]</f>
        <v>JBG-</v>
      </c>
    </row>
  </sheetData>
  <sheetProtection selectLockedCells="1"/>
  <conditionalFormatting sqref="I2:I292">
    <cfRule type="containsText" dxfId="4" priority="3" operator="containsText" text="PUNEL">
      <formula>NOT(ISERROR(SEARCH("PUNEL",I2)))</formula>
    </cfRule>
  </conditionalFormatting>
  <conditionalFormatting sqref="AQ2:AQ32">
    <cfRule type="containsText" dxfId="3" priority="1" operator="containsText" text="sun">
      <formula>NOT(ISERROR(SEARCH("sun",AQ2)))</formula>
    </cfRule>
    <cfRule type="containsText" dxfId="2" priority="2" operator="containsText" text="sat">
      <formula>NOT(ISERROR(SEARCH("sat",AQ2)))</formula>
    </cfRule>
  </conditionalFormatting>
  <pageMargins left="0.7" right="0.7" top="0.75" bottom="0.75" header="0.3" footer="0.3"/>
  <pageSetup orientation="portrait"/>
  <drawing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111"/>
  <sheetViews>
    <sheetView showGridLines="0" zoomScale="70" zoomScaleNormal="70" workbookViewId="0">
      <selection activeCell="J40" sqref="J40"/>
    </sheetView>
  </sheetViews>
  <sheetFormatPr defaultColWidth="9.109375" defaultRowHeight="13.2"/>
  <cols>
    <col min="1" max="1" width="5.5546875" style="82" customWidth="1"/>
    <col min="2" max="2" width="39.6640625" style="83" customWidth="1"/>
    <col min="3" max="3" width="17.88671875" style="84" customWidth="1"/>
    <col min="4" max="4" width="20.44140625" style="84" customWidth="1"/>
    <col min="5" max="5" width="22.44140625" style="85" customWidth="1"/>
    <col min="6" max="6" width="16.33203125" style="82" customWidth="1"/>
    <col min="7" max="7" width="14.6640625" style="82" customWidth="1"/>
    <col min="8" max="8" width="10.88671875" style="82" customWidth="1"/>
    <col min="9" max="9" width="20.44140625" style="82" customWidth="1"/>
    <col min="10" max="10" width="26" style="86" customWidth="1"/>
    <col min="11" max="11" width="11.33203125" style="87" customWidth="1"/>
    <col min="12" max="12" width="2" style="87" customWidth="1"/>
    <col min="13" max="13" width="1" style="88" customWidth="1"/>
    <col min="14" max="14" width="18.88671875" style="89" customWidth="1"/>
    <col min="15" max="15" width="12.109375" style="82" customWidth="1"/>
    <col min="16" max="16" width="19.33203125" style="83" customWidth="1"/>
    <col min="17" max="17" width="11.109375" style="83" customWidth="1"/>
    <col min="18" max="18" width="17.5546875" style="83" customWidth="1"/>
    <col min="19" max="19" width="9.109375" style="83"/>
    <col min="20" max="20" width="10.33203125" style="83" customWidth="1"/>
    <col min="21" max="21" width="18.33203125" style="83" customWidth="1"/>
    <col min="22" max="22" width="17.5546875" style="83" customWidth="1"/>
    <col min="23" max="23" width="9.109375" style="83"/>
    <col min="24" max="24" width="16.33203125" style="83" customWidth="1"/>
    <col min="25" max="256" width="9.109375" style="83"/>
    <col min="257" max="257" width="5.5546875" style="83" customWidth="1"/>
    <col min="258" max="258" width="15.33203125" style="83" customWidth="1"/>
    <col min="259" max="259" width="38" style="83" customWidth="1"/>
    <col min="260" max="260" width="31.6640625" style="83" customWidth="1"/>
    <col min="261" max="261" width="18.33203125" style="83" customWidth="1"/>
    <col min="262" max="262" width="8.6640625" style="83" customWidth="1"/>
    <col min="263" max="263" width="14.33203125" style="83" customWidth="1"/>
    <col min="264" max="264" width="11.5546875" style="83" customWidth="1"/>
    <col min="265" max="265" width="18.109375" style="83" customWidth="1"/>
    <col min="266" max="266" width="8.6640625" style="83" customWidth="1"/>
    <col min="267" max="267" width="11.33203125" style="83" customWidth="1"/>
    <col min="268" max="268" width="2" style="83" customWidth="1"/>
    <col min="269" max="269" width="1" style="83" customWidth="1"/>
    <col min="270" max="270" width="12.109375" style="83" customWidth="1"/>
    <col min="271" max="271" width="15.109375" style="83" customWidth="1"/>
    <col min="272" max="273" width="13.109375" style="83" customWidth="1"/>
    <col min="274" max="512" width="9.109375" style="83"/>
    <col min="513" max="513" width="5.5546875" style="83" customWidth="1"/>
    <col min="514" max="514" width="15.33203125" style="83" customWidth="1"/>
    <col min="515" max="515" width="38" style="83" customWidth="1"/>
    <col min="516" max="516" width="31.6640625" style="83" customWidth="1"/>
    <col min="517" max="517" width="18.33203125" style="83" customWidth="1"/>
    <col min="518" max="518" width="8.6640625" style="83" customWidth="1"/>
    <col min="519" max="519" width="14.33203125" style="83" customWidth="1"/>
    <col min="520" max="520" width="11.5546875" style="83" customWidth="1"/>
    <col min="521" max="521" width="18.109375" style="83" customWidth="1"/>
    <col min="522" max="522" width="8.6640625" style="83" customWidth="1"/>
    <col min="523" max="523" width="11.33203125" style="83" customWidth="1"/>
    <col min="524" max="524" width="2" style="83" customWidth="1"/>
    <col min="525" max="525" width="1" style="83" customWidth="1"/>
    <col min="526" max="526" width="12.109375" style="83" customWidth="1"/>
    <col min="527" max="527" width="15.109375" style="83" customWidth="1"/>
    <col min="528" max="529" width="13.109375" style="83" customWidth="1"/>
    <col min="530" max="768" width="9.109375" style="83"/>
    <col min="769" max="769" width="5.5546875" style="83" customWidth="1"/>
    <col min="770" max="770" width="15.33203125" style="83" customWidth="1"/>
    <col min="771" max="771" width="38" style="83" customWidth="1"/>
    <col min="772" max="772" width="31.6640625" style="83" customWidth="1"/>
    <col min="773" max="773" width="18.33203125" style="83" customWidth="1"/>
    <col min="774" max="774" width="8.6640625" style="83" customWidth="1"/>
    <col min="775" max="775" width="14.33203125" style="83" customWidth="1"/>
    <col min="776" max="776" width="11.5546875" style="83" customWidth="1"/>
    <col min="777" max="777" width="18.109375" style="83" customWidth="1"/>
    <col min="778" max="778" width="8.6640625" style="83" customWidth="1"/>
    <col min="779" max="779" width="11.33203125" style="83" customWidth="1"/>
    <col min="780" max="780" width="2" style="83" customWidth="1"/>
    <col min="781" max="781" width="1" style="83" customWidth="1"/>
    <col min="782" max="782" width="12.109375" style="83" customWidth="1"/>
    <col min="783" max="783" width="15.109375" style="83" customWidth="1"/>
    <col min="784" max="785" width="13.109375" style="83" customWidth="1"/>
    <col min="786" max="1024" width="9.109375" style="83"/>
    <col min="1025" max="1025" width="5.5546875" style="83" customWidth="1"/>
    <col min="1026" max="1026" width="15.33203125" style="83" customWidth="1"/>
    <col min="1027" max="1027" width="38" style="83" customWidth="1"/>
    <col min="1028" max="1028" width="31.6640625" style="83" customWidth="1"/>
    <col min="1029" max="1029" width="18.33203125" style="83" customWidth="1"/>
    <col min="1030" max="1030" width="8.6640625" style="83" customWidth="1"/>
    <col min="1031" max="1031" width="14.33203125" style="83" customWidth="1"/>
    <col min="1032" max="1032" width="11.5546875" style="83" customWidth="1"/>
    <col min="1033" max="1033" width="18.109375" style="83" customWidth="1"/>
    <col min="1034" max="1034" width="8.6640625" style="83" customWidth="1"/>
    <col min="1035" max="1035" width="11.33203125" style="83" customWidth="1"/>
    <col min="1036" max="1036" width="2" style="83" customWidth="1"/>
    <col min="1037" max="1037" width="1" style="83" customWidth="1"/>
    <col min="1038" max="1038" width="12.109375" style="83" customWidth="1"/>
    <col min="1039" max="1039" width="15.109375" style="83" customWidth="1"/>
    <col min="1040" max="1041" width="13.109375" style="83" customWidth="1"/>
    <col min="1042" max="1280" width="9.109375" style="83"/>
    <col min="1281" max="1281" width="5.5546875" style="83" customWidth="1"/>
    <col min="1282" max="1282" width="15.33203125" style="83" customWidth="1"/>
    <col min="1283" max="1283" width="38" style="83" customWidth="1"/>
    <col min="1284" max="1284" width="31.6640625" style="83" customWidth="1"/>
    <col min="1285" max="1285" width="18.33203125" style="83" customWidth="1"/>
    <col min="1286" max="1286" width="8.6640625" style="83" customWidth="1"/>
    <col min="1287" max="1287" width="14.33203125" style="83" customWidth="1"/>
    <col min="1288" max="1288" width="11.5546875" style="83" customWidth="1"/>
    <col min="1289" max="1289" width="18.109375" style="83" customWidth="1"/>
    <col min="1290" max="1290" width="8.6640625" style="83" customWidth="1"/>
    <col min="1291" max="1291" width="11.33203125" style="83" customWidth="1"/>
    <col min="1292" max="1292" width="2" style="83" customWidth="1"/>
    <col min="1293" max="1293" width="1" style="83" customWidth="1"/>
    <col min="1294" max="1294" width="12.109375" style="83" customWidth="1"/>
    <col min="1295" max="1295" width="15.109375" style="83" customWidth="1"/>
    <col min="1296" max="1297" width="13.109375" style="83" customWidth="1"/>
    <col min="1298" max="1536" width="9.109375" style="83"/>
    <col min="1537" max="1537" width="5.5546875" style="83" customWidth="1"/>
    <col min="1538" max="1538" width="15.33203125" style="83" customWidth="1"/>
    <col min="1539" max="1539" width="38" style="83" customWidth="1"/>
    <col min="1540" max="1540" width="31.6640625" style="83" customWidth="1"/>
    <col min="1541" max="1541" width="18.33203125" style="83" customWidth="1"/>
    <col min="1542" max="1542" width="8.6640625" style="83" customWidth="1"/>
    <col min="1543" max="1543" width="14.33203125" style="83" customWidth="1"/>
    <col min="1544" max="1544" width="11.5546875" style="83" customWidth="1"/>
    <col min="1545" max="1545" width="18.109375" style="83" customWidth="1"/>
    <col min="1546" max="1546" width="8.6640625" style="83" customWidth="1"/>
    <col min="1547" max="1547" width="11.33203125" style="83" customWidth="1"/>
    <col min="1548" max="1548" width="2" style="83" customWidth="1"/>
    <col min="1549" max="1549" width="1" style="83" customWidth="1"/>
    <col min="1550" max="1550" width="12.109375" style="83" customWidth="1"/>
    <col min="1551" max="1551" width="15.109375" style="83" customWidth="1"/>
    <col min="1552" max="1553" width="13.109375" style="83" customWidth="1"/>
    <col min="1554" max="1792" width="9.109375" style="83"/>
    <col min="1793" max="1793" width="5.5546875" style="83" customWidth="1"/>
    <col min="1794" max="1794" width="15.33203125" style="83" customWidth="1"/>
    <col min="1795" max="1795" width="38" style="83" customWidth="1"/>
    <col min="1796" max="1796" width="31.6640625" style="83" customWidth="1"/>
    <col min="1797" max="1797" width="18.33203125" style="83" customWidth="1"/>
    <col min="1798" max="1798" width="8.6640625" style="83" customWidth="1"/>
    <col min="1799" max="1799" width="14.33203125" style="83" customWidth="1"/>
    <col min="1800" max="1800" width="11.5546875" style="83" customWidth="1"/>
    <col min="1801" max="1801" width="18.109375" style="83" customWidth="1"/>
    <col min="1802" max="1802" width="8.6640625" style="83" customWidth="1"/>
    <col min="1803" max="1803" width="11.33203125" style="83" customWidth="1"/>
    <col min="1804" max="1804" width="2" style="83" customWidth="1"/>
    <col min="1805" max="1805" width="1" style="83" customWidth="1"/>
    <col min="1806" max="1806" width="12.109375" style="83" customWidth="1"/>
    <col min="1807" max="1807" width="15.109375" style="83" customWidth="1"/>
    <col min="1808" max="1809" width="13.109375" style="83" customWidth="1"/>
    <col min="1810" max="2048" width="9.109375" style="83"/>
    <col min="2049" max="2049" width="5.5546875" style="83" customWidth="1"/>
    <col min="2050" max="2050" width="15.33203125" style="83" customWidth="1"/>
    <col min="2051" max="2051" width="38" style="83" customWidth="1"/>
    <col min="2052" max="2052" width="31.6640625" style="83" customWidth="1"/>
    <col min="2053" max="2053" width="18.33203125" style="83" customWidth="1"/>
    <col min="2054" max="2054" width="8.6640625" style="83" customWidth="1"/>
    <col min="2055" max="2055" width="14.33203125" style="83" customWidth="1"/>
    <col min="2056" max="2056" width="11.5546875" style="83" customWidth="1"/>
    <col min="2057" max="2057" width="18.109375" style="83" customWidth="1"/>
    <col min="2058" max="2058" width="8.6640625" style="83" customWidth="1"/>
    <col min="2059" max="2059" width="11.33203125" style="83" customWidth="1"/>
    <col min="2060" max="2060" width="2" style="83" customWidth="1"/>
    <col min="2061" max="2061" width="1" style="83" customWidth="1"/>
    <col min="2062" max="2062" width="12.109375" style="83" customWidth="1"/>
    <col min="2063" max="2063" width="15.109375" style="83" customWidth="1"/>
    <col min="2064" max="2065" width="13.109375" style="83" customWidth="1"/>
    <col min="2066" max="2304" width="9.109375" style="83"/>
    <col min="2305" max="2305" width="5.5546875" style="83" customWidth="1"/>
    <col min="2306" max="2306" width="15.33203125" style="83" customWidth="1"/>
    <col min="2307" max="2307" width="38" style="83" customWidth="1"/>
    <col min="2308" max="2308" width="31.6640625" style="83" customWidth="1"/>
    <col min="2309" max="2309" width="18.33203125" style="83" customWidth="1"/>
    <col min="2310" max="2310" width="8.6640625" style="83" customWidth="1"/>
    <col min="2311" max="2311" width="14.33203125" style="83" customWidth="1"/>
    <col min="2312" max="2312" width="11.5546875" style="83" customWidth="1"/>
    <col min="2313" max="2313" width="18.109375" style="83" customWidth="1"/>
    <col min="2314" max="2314" width="8.6640625" style="83" customWidth="1"/>
    <col min="2315" max="2315" width="11.33203125" style="83" customWidth="1"/>
    <col min="2316" max="2316" width="2" style="83" customWidth="1"/>
    <col min="2317" max="2317" width="1" style="83" customWidth="1"/>
    <col min="2318" max="2318" width="12.109375" style="83" customWidth="1"/>
    <col min="2319" max="2319" width="15.109375" style="83" customWidth="1"/>
    <col min="2320" max="2321" width="13.109375" style="83" customWidth="1"/>
    <col min="2322" max="2560" width="9.109375" style="83"/>
    <col min="2561" max="2561" width="5.5546875" style="83" customWidth="1"/>
    <col min="2562" max="2562" width="15.33203125" style="83" customWidth="1"/>
    <col min="2563" max="2563" width="38" style="83" customWidth="1"/>
    <col min="2564" max="2564" width="31.6640625" style="83" customWidth="1"/>
    <col min="2565" max="2565" width="18.33203125" style="83" customWidth="1"/>
    <col min="2566" max="2566" width="8.6640625" style="83" customWidth="1"/>
    <col min="2567" max="2567" width="14.33203125" style="83" customWidth="1"/>
    <col min="2568" max="2568" width="11.5546875" style="83" customWidth="1"/>
    <col min="2569" max="2569" width="18.109375" style="83" customWidth="1"/>
    <col min="2570" max="2570" width="8.6640625" style="83" customWidth="1"/>
    <col min="2571" max="2571" width="11.33203125" style="83" customWidth="1"/>
    <col min="2572" max="2572" width="2" style="83" customWidth="1"/>
    <col min="2573" max="2573" width="1" style="83" customWidth="1"/>
    <col min="2574" max="2574" width="12.109375" style="83" customWidth="1"/>
    <col min="2575" max="2575" width="15.109375" style="83" customWidth="1"/>
    <col min="2576" max="2577" width="13.109375" style="83" customWidth="1"/>
    <col min="2578" max="2816" width="9.109375" style="83"/>
    <col min="2817" max="2817" width="5.5546875" style="83" customWidth="1"/>
    <col min="2818" max="2818" width="15.33203125" style="83" customWidth="1"/>
    <col min="2819" max="2819" width="38" style="83" customWidth="1"/>
    <col min="2820" max="2820" width="31.6640625" style="83" customWidth="1"/>
    <col min="2821" max="2821" width="18.33203125" style="83" customWidth="1"/>
    <col min="2822" max="2822" width="8.6640625" style="83" customWidth="1"/>
    <col min="2823" max="2823" width="14.33203125" style="83" customWidth="1"/>
    <col min="2824" max="2824" width="11.5546875" style="83" customWidth="1"/>
    <col min="2825" max="2825" width="18.109375" style="83" customWidth="1"/>
    <col min="2826" max="2826" width="8.6640625" style="83" customWidth="1"/>
    <col min="2827" max="2827" width="11.33203125" style="83" customWidth="1"/>
    <col min="2828" max="2828" width="2" style="83" customWidth="1"/>
    <col min="2829" max="2829" width="1" style="83" customWidth="1"/>
    <col min="2830" max="2830" width="12.109375" style="83" customWidth="1"/>
    <col min="2831" max="2831" width="15.109375" style="83" customWidth="1"/>
    <col min="2832" max="2833" width="13.109375" style="83" customWidth="1"/>
    <col min="2834" max="3072" width="9.109375" style="83"/>
    <col min="3073" max="3073" width="5.5546875" style="83" customWidth="1"/>
    <col min="3074" max="3074" width="15.33203125" style="83" customWidth="1"/>
    <col min="3075" max="3075" width="38" style="83" customWidth="1"/>
    <col min="3076" max="3076" width="31.6640625" style="83" customWidth="1"/>
    <col min="3077" max="3077" width="18.33203125" style="83" customWidth="1"/>
    <col min="3078" max="3078" width="8.6640625" style="83" customWidth="1"/>
    <col min="3079" max="3079" width="14.33203125" style="83" customWidth="1"/>
    <col min="3080" max="3080" width="11.5546875" style="83" customWidth="1"/>
    <col min="3081" max="3081" width="18.109375" style="83" customWidth="1"/>
    <col min="3082" max="3082" width="8.6640625" style="83" customWidth="1"/>
    <col min="3083" max="3083" width="11.33203125" style="83" customWidth="1"/>
    <col min="3084" max="3084" width="2" style="83" customWidth="1"/>
    <col min="3085" max="3085" width="1" style="83" customWidth="1"/>
    <col min="3086" max="3086" width="12.109375" style="83" customWidth="1"/>
    <col min="3087" max="3087" width="15.109375" style="83" customWidth="1"/>
    <col min="3088" max="3089" width="13.109375" style="83" customWidth="1"/>
    <col min="3090" max="3328" width="9.109375" style="83"/>
    <col min="3329" max="3329" width="5.5546875" style="83" customWidth="1"/>
    <col min="3330" max="3330" width="15.33203125" style="83" customWidth="1"/>
    <col min="3331" max="3331" width="38" style="83" customWidth="1"/>
    <col min="3332" max="3332" width="31.6640625" style="83" customWidth="1"/>
    <col min="3333" max="3333" width="18.33203125" style="83" customWidth="1"/>
    <col min="3334" max="3334" width="8.6640625" style="83" customWidth="1"/>
    <col min="3335" max="3335" width="14.33203125" style="83" customWidth="1"/>
    <col min="3336" max="3336" width="11.5546875" style="83" customWidth="1"/>
    <col min="3337" max="3337" width="18.109375" style="83" customWidth="1"/>
    <col min="3338" max="3338" width="8.6640625" style="83" customWidth="1"/>
    <col min="3339" max="3339" width="11.33203125" style="83" customWidth="1"/>
    <col min="3340" max="3340" width="2" style="83" customWidth="1"/>
    <col min="3341" max="3341" width="1" style="83" customWidth="1"/>
    <col min="3342" max="3342" width="12.109375" style="83" customWidth="1"/>
    <col min="3343" max="3343" width="15.109375" style="83" customWidth="1"/>
    <col min="3344" max="3345" width="13.109375" style="83" customWidth="1"/>
    <col min="3346" max="3584" width="9.109375" style="83"/>
    <col min="3585" max="3585" width="5.5546875" style="83" customWidth="1"/>
    <col min="3586" max="3586" width="15.33203125" style="83" customWidth="1"/>
    <col min="3587" max="3587" width="38" style="83" customWidth="1"/>
    <col min="3588" max="3588" width="31.6640625" style="83" customWidth="1"/>
    <col min="3589" max="3589" width="18.33203125" style="83" customWidth="1"/>
    <col min="3590" max="3590" width="8.6640625" style="83" customWidth="1"/>
    <col min="3591" max="3591" width="14.33203125" style="83" customWidth="1"/>
    <col min="3592" max="3592" width="11.5546875" style="83" customWidth="1"/>
    <col min="3593" max="3593" width="18.109375" style="83" customWidth="1"/>
    <col min="3594" max="3594" width="8.6640625" style="83" customWidth="1"/>
    <col min="3595" max="3595" width="11.33203125" style="83" customWidth="1"/>
    <col min="3596" max="3596" width="2" style="83" customWidth="1"/>
    <col min="3597" max="3597" width="1" style="83" customWidth="1"/>
    <col min="3598" max="3598" width="12.109375" style="83" customWidth="1"/>
    <col min="3599" max="3599" width="15.109375" style="83" customWidth="1"/>
    <col min="3600" max="3601" width="13.109375" style="83" customWidth="1"/>
    <col min="3602" max="3840" width="9.109375" style="83"/>
    <col min="3841" max="3841" width="5.5546875" style="83" customWidth="1"/>
    <col min="3842" max="3842" width="15.33203125" style="83" customWidth="1"/>
    <col min="3843" max="3843" width="38" style="83" customWidth="1"/>
    <col min="3844" max="3844" width="31.6640625" style="83" customWidth="1"/>
    <col min="3845" max="3845" width="18.33203125" style="83" customWidth="1"/>
    <col min="3846" max="3846" width="8.6640625" style="83" customWidth="1"/>
    <col min="3847" max="3847" width="14.33203125" style="83" customWidth="1"/>
    <col min="3848" max="3848" width="11.5546875" style="83" customWidth="1"/>
    <col min="3849" max="3849" width="18.109375" style="83" customWidth="1"/>
    <col min="3850" max="3850" width="8.6640625" style="83" customWidth="1"/>
    <col min="3851" max="3851" width="11.33203125" style="83" customWidth="1"/>
    <col min="3852" max="3852" width="2" style="83" customWidth="1"/>
    <col min="3853" max="3853" width="1" style="83" customWidth="1"/>
    <col min="3854" max="3854" width="12.109375" style="83" customWidth="1"/>
    <col min="3855" max="3855" width="15.109375" style="83" customWidth="1"/>
    <col min="3856" max="3857" width="13.109375" style="83" customWidth="1"/>
    <col min="3858" max="4096" width="9.109375" style="83"/>
    <col min="4097" max="4097" width="5.5546875" style="83" customWidth="1"/>
    <col min="4098" max="4098" width="15.33203125" style="83" customWidth="1"/>
    <col min="4099" max="4099" width="38" style="83" customWidth="1"/>
    <col min="4100" max="4100" width="31.6640625" style="83" customWidth="1"/>
    <col min="4101" max="4101" width="18.33203125" style="83" customWidth="1"/>
    <col min="4102" max="4102" width="8.6640625" style="83" customWidth="1"/>
    <col min="4103" max="4103" width="14.33203125" style="83" customWidth="1"/>
    <col min="4104" max="4104" width="11.5546875" style="83" customWidth="1"/>
    <col min="4105" max="4105" width="18.109375" style="83" customWidth="1"/>
    <col min="4106" max="4106" width="8.6640625" style="83" customWidth="1"/>
    <col min="4107" max="4107" width="11.33203125" style="83" customWidth="1"/>
    <col min="4108" max="4108" width="2" style="83" customWidth="1"/>
    <col min="4109" max="4109" width="1" style="83" customWidth="1"/>
    <col min="4110" max="4110" width="12.109375" style="83" customWidth="1"/>
    <col min="4111" max="4111" width="15.109375" style="83" customWidth="1"/>
    <col min="4112" max="4113" width="13.109375" style="83" customWidth="1"/>
    <col min="4114" max="4352" width="9.109375" style="83"/>
    <col min="4353" max="4353" width="5.5546875" style="83" customWidth="1"/>
    <col min="4354" max="4354" width="15.33203125" style="83" customWidth="1"/>
    <col min="4355" max="4355" width="38" style="83" customWidth="1"/>
    <col min="4356" max="4356" width="31.6640625" style="83" customWidth="1"/>
    <col min="4357" max="4357" width="18.33203125" style="83" customWidth="1"/>
    <col min="4358" max="4358" width="8.6640625" style="83" customWidth="1"/>
    <col min="4359" max="4359" width="14.33203125" style="83" customWidth="1"/>
    <col min="4360" max="4360" width="11.5546875" style="83" customWidth="1"/>
    <col min="4361" max="4361" width="18.109375" style="83" customWidth="1"/>
    <col min="4362" max="4362" width="8.6640625" style="83" customWidth="1"/>
    <col min="4363" max="4363" width="11.33203125" style="83" customWidth="1"/>
    <col min="4364" max="4364" width="2" style="83" customWidth="1"/>
    <col min="4365" max="4365" width="1" style="83" customWidth="1"/>
    <col min="4366" max="4366" width="12.109375" style="83" customWidth="1"/>
    <col min="4367" max="4367" width="15.109375" style="83" customWidth="1"/>
    <col min="4368" max="4369" width="13.109375" style="83" customWidth="1"/>
    <col min="4370" max="4608" width="9.109375" style="83"/>
    <col min="4609" max="4609" width="5.5546875" style="83" customWidth="1"/>
    <col min="4610" max="4610" width="15.33203125" style="83" customWidth="1"/>
    <col min="4611" max="4611" width="38" style="83" customWidth="1"/>
    <col min="4612" max="4612" width="31.6640625" style="83" customWidth="1"/>
    <col min="4613" max="4613" width="18.33203125" style="83" customWidth="1"/>
    <col min="4614" max="4614" width="8.6640625" style="83" customWidth="1"/>
    <col min="4615" max="4615" width="14.33203125" style="83" customWidth="1"/>
    <col min="4616" max="4616" width="11.5546875" style="83" customWidth="1"/>
    <col min="4617" max="4617" width="18.109375" style="83" customWidth="1"/>
    <col min="4618" max="4618" width="8.6640625" style="83" customWidth="1"/>
    <col min="4619" max="4619" width="11.33203125" style="83" customWidth="1"/>
    <col min="4620" max="4620" width="2" style="83" customWidth="1"/>
    <col min="4621" max="4621" width="1" style="83" customWidth="1"/>
    <col min="4622" max="4622" width="12.109375" style="83" customWidth="1"/>
    <col min="4623" max="4623" width="15.109375" style="83" customWidth="1"/>
    <col min="4624" max="4625" width="13.109375" style="83" customWidth="1"/>
    <col min="4626" max="4864" width="9.109375" style="83"/>
    <col min="4865" max="4865" width="5.5546875" style="83" customWidth="1"/>
    <col min="4866" max="4866" width="15.33203125" style="83" customWidth="1"/>
    <col min="4867" max="4867" width="38" style="83" customWidth="1"/>
    <col min="4868" max="4868" width="31.6640625" style="83" customWidth="1"/>
    <col min="4869" max="4869" width="18.33203125" style="83" customWidth="1"/>
    <col min="4870" max="4870" width="8.6640625" style="83" customWidth="1"/>
    <col min="4871" max="4871" width="14.33203125" style="83" customWidth="1"/>
    <col min="4872" max="4872" width="11.5546875" style="83" customWidth="1"/>
    <col min="4873" max="4873" width="18.109375" style="83" customWidth="1"/>
    <col min="4874" max="4874" width="8.6640625" style="83" customWidth="1"/>
    <col min="4875" max="4875" width="11.33203125" style="83" customWidth="1"/>
    <col min="4876" max="4876" width="2" style="83" customWidth="1"/>
    <col min="4877" max="4877" width="1" style="83" customWidth="1"/>
    <col min="4878" max="4878" width="12.109375" style="83" customWidth="1"/>
    <col min="4879" max="4879" width="15.109375" style="83" customWidth="1"/>
    <col min="4880" max="4881" width="13.109375" style="83" customWidth="1"/>
    <col min="4882" max="5120" width="9.109375" style="83"/>
    <col min="5121" max="5121" width="5.5546875" style="83" customWidth="1"/>
    <col min="5122" max="5122" width="15.33203125" style="83" customWidth="1"/>
    <col min="5123" max="5123" width="38" style="83" customWidth="1"/>
    <col min="5124" max="5124" width="31.6640625" style="83" customWidth="1"/>
    <col min="5125" max="5125" width="18.33203125" style="83" customWidth="1"/>
    <col min="5126" max="5126" width="8.6640625" style="83" customWidth="1"/>
    <col min="5127" max="5127" width="14.33203125" style="83" customWidth="1"/>
    <col min="5128" max="5128" width="11.5546875" style="83" customWidth="1"/>
    <col min="5129" max="5129" width="18.109375" style="83" customWidth="1"/>
    <col min="5130" max="5130" width="8.6640625" style="83" customWidth="1"/>
    <col min="5131" max="5131" width="11.33203125" style="83" customWidth="1"/>
    <col min="5132" max="5132" width="2" style="83" customWidth="1"/>
    <col min="5133" max="5133" width="1" style="83" customWidth="1"/>
    <col min="5134" max="5134" width="12.109375" style="83" customWidth="1"/>
    <col min="5135" max="5135" width="15.109375" style="83" customWidth="1"/>
    <col min="5136" max="5137" width="13.109375" style="83" customWidth="1"/>
    <col min="5138" max="5376" width="9.109375" style="83"/>
    <col min="5377" max="5377" width="5.5546875" style="83" customWidth="1"/>
    <col min="5378" max="5378" width="15.33203125" style="83" customWidth="1"/>
    <col min="5379" max="5379" width="38" style="83" customWidth="1"/>
    <col min="5380" max="5380" width="31.6640625" style="83" customWidth="1"/>
    <col min="5381" max="5381" width="18.33203125" style="83" customWidth="1"/>
    <col min="5382" max="5382" width="8.6640625" style="83" customWidth="1"/>
    <col min="5383" max="5383" width="14.33203125" style="83" customWidth="1"/>
    <col min="5384" max="5384" width="11.5546875" style="83" customWidth="1"/>
    <col min="5385" max="5385" width="18.109375" style="83" customWidth="1"/>
    <col min="5386" max="5386" width="8.6640625" style="83" customWidth="1"/>
    <col min="5387" max="5387" width="11.33203125" style="83" customWidth="1"/>
    <col min="5388" max="5388" width="2" style="83" customWidth="1"/>
    <col min="5389" max="5389" width="1" style="83" customWidth="1"/>
    <col min="5390" max="5390" width="12.109375" style="83" customWidth="1"/>
    <col min="5391" max="5391" width="15.109375" style="83" customWidth="1"/>
    <col min="5392" max="5393" width="13.109375" style="83" customWidth="1"/>
    <col min="5394" max="5632" width="9.109375" style="83"/>
    <col min="5633" max="5633" width="5.5546875" style="83" customWidth="1"/>
    <col min="5634" max="5634" width="15.33203125" style="83" customWidth="1"/>
    <col min="5635" max="5635" width="38" style="83" customWidth="1"/>
    <col min="5636" max="5636" width="31.6640625" style="83" customWidth="1"/>
    <col min="5637" max="5637" width="18.33203125" style="83" customWidth="1"/>
    <col min="5638" max="5638" width="8.6640625" style="83" customWidth="1"/>
    <col min="5639" max="5639" width="14.33203125" style="83" customWidth="1"/>
    <col min="5640" max="5640" width="11.5546875" style="83" customWidth="1"/>
    <col min="5641" max="5641" width="18.109375" style="83" customWidth="1"/>
    <col min="5642" max="5642" width="8.6640625" style="83" customWidth="1"/>
    <col min="5643" max="5643" width="11.33203125" style="83" customWidth="1"/>
    <col min="5644" max="5644" width="2" style="83" customWidth="1"/>
    <col min="5645" max="5645" width="1" style="83" customWidth="1"/>
    <col min="5646" max="5646" width="12.109375" style="83" customWidth="1"/>
    <col min="5647" max="5647" width="15.109375" style="83" customWidth="1"/>
    <col min="5648" max="5649" width="13.109375" style="83" customWidth="1"/>
    <col min="5650" max="5888" width="9.109375" style="83"/>
    <col min="5889" max="5889" width="5.5546875" style="83" customWidth="1"/>
    <col min="5890" max="5890" width="15.33203125" style="83" customWidth="1"/>
    <col min="5891" max="5891" width="38" style="83" customWidth="1"/>
    <col min="5892" max="5892" width="31.6640625" style="83" customWidth="1"/>
    <col min="5893" max="5893" width="18.33203125" style="83" customWidth="1"/>
    <col min="5894" max="5894" width="8.6640625" style="83" customWidth="1"/>
    <col min="5895" max="5895" width="14.33203125" style="83" customWidth="1"/>
    <col min="5896" max="5896" width="11.5546875" style="83" customWidth="1"/>
    <col min="5897" max="5897" width="18.109375" style="83" customWidth="1"/>
    <col min="5898" max="5898" width="8.6640625" style="83" customWidth="1"/>
    <col min="5899" max="5899" width="11.33203125" style="83" customWidth="1"/>
    <col min="5900" max="5900" width="2" style="83" customWidth="1"/>
    <col min="5901" max="5901" width="1" style="83" customWidth="1"/>
    <col min="5902" max="5902" width="12.109375" style="83" customWidth="1"/>
    <col min="5903" max="5903" width="15.109375" style="83" customWidth="1"/>
    <col min="5904" max="5905" width="13.109375" style="83" customWidth="1"/>
    <col min="5906" max="6144" width="9.109375" style="83"/>
    <col min="6145" max="6145" width="5.5546875" style="83" customWidth="1"/>
    <col min="6146" max="6146" width="15.33203125" style="83" customWidth="1"/>
    <col min="6147" max="6147" width="38" style="83" customWidth="1"/>
    <col min="6148" max="6148" width="31.6640625" style="83" customWidth="1"/>
    <col min="6149" max="6149" width="18.33203125" style="83" customWidth="1"/>
    <col min="6150" max="6150" width="8.6640625" style="83" customWidth="1"/>
    <col min="6151" max="6151" width="14.33203125" style="83" customWidth="1"/>
    <col min="6152" max="6152" width="11.5546875" style="83" customWidth="1"/>
    <col min="6153" max="6153" width="18.109375" style="83" customWidth="1"/>
    <col min="6154" max="6154" width="8.6640625" style="83" customWidth="1"/>
    <col min="6155" max="6155" width="11.33203125" style="83" customWidth="1"/>
    <col min="6156" max="6156" width="2" style="83" customWidth="1"/>
    <col min="6157" max="6157" width="1" style="83" customWidth="1"/>
    <col min="6158" max="6158" width="12.109375" style="83" customWidth="1"/>
    <col min="6159" max="6159" width="15.109375" style="83" customWidth="1"/>
    <col min="6160" max="6161" width="13.109375" style="83" customWidth="1"/>
    <col min="6162" max="6400" width="9.109375" style="83"/>
    <col min="6401" max="6401" width="5.5546875" style="83" customWidth="1"/>
    <col min="6402" max="6402" width="15.33203125" style="83" customWidth="1"/>
    <col min="6403" max="6403" width="38" style="83" customWidth="1"/>
    <col min="6404" max="6404" width="31.6640625" style="83" customWidth="1"/>
    <col min="6405" max="6405" width="18.33203125" style="83" customWidth="1"/>
    <col min="6406" max="6406" width="8.6640625" style="83" customWidth="1"/>
    <col min="6407" max="6407" width="14.33203125" style="83" customWidth="1"/>
    <col min="6408" max="6408" width="11.5546875" style="83" customWidth="1"/>
    <col min="6409" max="6409" width="18.109375" style="83" customWidth="1"/>
    <col min="6410" max="6410" width="8.6640625" style="83" customWidth="1"/>
    <col min="6411" max="6411" width="11.33203125" style="83" customWidth="1"/>
    <col min="6412" max="6412" width="2" style="83" customWidth="1"/>
    <col min="6413" max="6413" width="1" style="83" customWidth="1"/>
    <col min="6414" max="6414" width="12.109375" style="83" customWidth="1"/>
    <col min="6415" max="6415" width="15.109375" style="83" customWidth="1"/>
    <col min="6416" max="6417" width="13.109375" style="83" customWidth="1"/>
    <col min="6418" max="6656" width="9.109375" style="83"/>
    <col min="6657" max="6657" width="5.5546875" style="83" customWidth="1"/>
    <col min="6658" max="6658" width="15.33203125" style="83" customWidth="1"/>
    <col min="6659" max="6659" width="38" style="83" customWidth="1"/>
    <col min="6660" max="6660" width="31.6640625" style="83" customWidth="1"/>
    <col min="6661" max="6661" width="18.33203125" style="83" customWidth="1"/>
    <col min="6662" max="6662" width="8.6640625" style="83" customWidth="1"/>
    <col min="6663" max="6663" width="14.33203125" style="83" customWidth="1"/>
    <col min="6664" max="6664" width="11.5546875" style="83" customWidth="1"/>
    <col min="6665" max="6665" width="18.109375" style="83" customWidth="1"/>
    <col min="6666" max="6666" width="8.6640625" style="83" customWidth="1"/>
    <col min="6667" max="6667" width="11.33203125" style="83" customWidth="1"/>
    <col min="6668" max="6668" width="2" style="83" customWidth="1"/>
    <col min="6669" max="6669" width="1" style="83" customWidth="1"/>
    <col min="6670" max="6670" width="12.109375" style="83" customWidth="1"/>
    <col min="6671" max="6671" width="15.109375" style="83" customWidth="1"/>
    <col min="6672" max="6673" width="13.109375" style="83" customWidth="1"/>
    <col min="6674" max="6912" width="9.109375" style="83"/>
    <col min="6913" max="6913" width="5.5546875" style="83" customWidth="1"/>
    <col min="6914" max="6914" width="15.33203125" style="83" customWidth="1"/>
    <col min="6915" max="6915" width="38" style="83" customWidth="1"/>
    <col min="6916" max="6916" width="31.6640625" style="83" customWidth="1"/>
    <col min="6917" max="6917" width="18.33203125" style="83" customWidth="1"/>
    <col min="6918" max="6918" width="8.6640625" style="83" customWidth="1"/>
    <col min="6919" max="6919" width="14.33203125" style="83" customWidth="1"/>
    <col min="6920" max="6920" width="11.5546875" style="83" customWidth="1"/>
    <col min="6921" max="6921" width="18.109375" style="83" customWidth="1"/>
    <col min="6922" max="6922" width="8.6640625" style="83" customWidth="1"/>
    <col min="6923" max="6923" width="11.33203125" style="83" customWidth="1"/>
    <col min="6924" max="6924" width="2" style="83" customWidth="1"/>
    <col min="6925" max="6925" width="1" style="83" customWidth="1"/>
    <col min="6926" max="6926" width="12.109375" style="83" customWidth="1"/>
    <col min="6927" max="6927" width="15.109375" style="83" customWidth="1"/>
    <col min="6928" max="6929" width="13.109375" style="83" customWidth="1"/>
    <col min="6930" max="7168" width="9.109375" style="83"/>
    <col min="7169" max="7169" width="5.5546875" style="83" customWidth="1"/>
    <col min="7170" max="7170" width="15.33203125" style="83" customWidth="1"/>
    <col min="7171" max="7171" width="38" style="83" customWidth="1"/>
    <col min="7172" max="7172" width="31.6640625" style="83" customWidth="1"/>
    <col min="7173" max="7173" width="18.33203125" style="83" customWidth="1"/>
    <col min="7174" max="7174" width="8.6640625" style="83" customWidth="1"/>
    <col min="7175" max="7175" width="14.33203125" style="83" customWidth="1"/>
    <col min="7176" max="7176" width="11.5546875" style="83" customWidth="1"/>
    <col min="7177" max="7177" width="18.109375" style="83" customWidth="1"/>
    <col min="7178" max="7178" width="8.6640625" style="83" customWidth="1"/>
    <col min="7179" max="7179" width="11.33203125" style="83" customWidth="1"/>
    <col min="7180" max="7180" width="2" style="83" customWidth="1"/>
    <col min="7181" max="7181" width="1" style="83" customWidth="1"/>
    <col min="7182" max="7182" width="12.109375" style="83" customWidth="1"/>
    <col min="7183" max="7183" width="15.109375" style="83" customWidth="1"/>
    <col min="7184" max="7185" width="13.109375" style="83" customWidth="1"/>
    <col min="7186" max="7424" width="9.109375" style="83"/>
    <col min="7425" max="7425" width="5.5546875" style="83" customWidth="1"/>
    <col min="7426" max="7426" width="15.33203125" style="83" customWidth="1"/>
    <col min="7427" max="7427" width="38" style="83" customWidth="1"/>
    <col min="7428" max="7428" width="31.6640625" style="83" customWidth="1"/>
    <col min="7429" max="7429" width="18.33203125" style="83" customWidth="1"/>
    <col min="7430" max="7430" width="8.6640625" style="83" customWidth="1"/>
    <col min="7431" max="7431" width="14.33203125" style="83" customWidth="1"/>
    <col min="7432" max="7432" width="11.5546875" style="83" customWidth="1"/>
    <col min="7433" max="7433" width="18.109375" style="83" customWidth="1"/>
    <col min="7434" max="7434" width="8.6640625" style="83" customWidth="1"/>
    <col min="7435" max="7435" width="11.33203125" style="83" customWidth="1"/>
    <col min="7436" max="7436" width="2" style="83" customWidth="1"/>
    <col min="7437" max="7437" width="1" style="83" customWidth="1"/>
    <col min="7438" max="7438" width="12.109375" style="83" customWidth="1"/>
    <col min="7439" max="7439" width="15.109375" style="83" customWidth="1"/>
    <col min="7440" max="7441" width="13.109375" style="83" customWidth="1"/>
    <col min="7442" max="7680" width="9.109375" style="83"/>
    <col min="7681" max="7681" width="5.5546875" style="83" customWidth="1"/>
    <col min="7682" max="7682" width="15.33203125" style="83" customWidth="1"/>
    <col min="7683" max="7683" width="38" style="83" customWidth="1"/>
    <col min="7684" max="7684" width="31.6640625" style="83" customWidth="1"/>
    <col min="7685" max="7685" width="18.33203125" style="83" customWidth="1"/>
    <col min="7686" max="7686" width="8.6640625" style="83" customWidth="1"/>
    <col min="7687" max="7687" width="14.33203125" style="83" customWidth="1"/>
    <col min="7688" max="7688" width="11.5546875" style="83" customWidth="1"/>
    <col min="7689" max="7689" width="18.109375" style="83" customWidth="1"/>
    <col min="7690" max="7690" width="8.6640625" style="83" customWidth="1"/>
    <col min="7691" max="7691" width="11.33203125" style="83" customWidth="1"/>
    <col min="7692" max="7692" width="2" style="83" customWidth="1"/>
    <col min="7693" max="7693" width="1" style="83" customWidth="1"/>
    <col min="7694" max="7694" width="12.109375" style="83" customWidth="1"/>
    <col min="7695" max="7695" width="15.109375" style="83" customWidth="1"/>
    <col min="7696" max="7697" width="13.109375" style="83" customWidth="1"/>
    <col min="7698" max="7936" width="9.109375" style="83"/>
    <col min="7937" max="7937" width="5.5546875" style="83" customWidth="1"/>
    <col min="7938" max="7938" width="15.33203125" style="83" customWidth="1"/>
    <col min="7939" max="7939" width="38" style="83" customWidth="1"/>
    <col min="7940" max="7940" width="31.6640625" style="83" customWidth="1"/>
    <col min="7941" max="7941" width="18.33203125" style="83" customWidth="1"/>
    <col min="7942" max="7942" width="8.6640625" style="83" customWidth="1"/>
    <col min="7943" max="7943" width="14.33203125" style="83" customWidth="1"/>
    <col min="7944" max="7944" width="11.5546875" style="83" customWidth="1"/>
    <col min="7945" max="7945" width="18.109375" style="83" customWidth="1"/>
    <col min="7946" max="7946" width="8.6640625" style="83" customWidth="1"/>
    <col min="7947" max="7947" width="11.33203125" style="83" customWidth="1"/>
    <col min="7948" max="7948" width="2" style="83" customWidth="1"/>
    <col min="7949" max="7949" width="1" style="83" customWidth="1"/>
    <col min="7950" max="7950" width="12.109375" style="83" customWidth="1"/>
    <col min="7951" max="7951" width="15.109375" style="83" customWidth="1"/>
    <col min="7952" max="7953" width="13.109375" style="83" customWidth="1"/>
    <col min="7954" max="8192" width="9.109375" style="83"/>
    <col min="8193" max="8193" width="5.5546875" style="83" customWidth="1"/>
    <col min="8194" max="8194" width="15.33203125" style="83" customWidth="1"/>
    <col min="8195" max="8195" width="38" style="83" customWidth="1"/>
    <col min="8196" max="8196" width="31.6640625" style="83" customWidth="1"/>
    <col min="8197" max="8197" width="18.33203125" style="83" customWidth="1"/>
    <col min="8198" max="8198" width="8.6640625" style="83" customWidth="1"/>
    <col min="8199" max="8199" width="14.33203125" style="83" customWidth="1"/>
    <col min="8200" max="8200" width="11.5546875" style="83" customWidth="1"/>
    <col min="8201" max="8201" width="18.109375" style="83" customWidth="1"/>
    <col min="8202" max="8202" width="8.6640625" style="83" customWidth="1"/>
    <col min="8203" max="8203" width="11.33203125" style="83" customWidth="1"/>
    <col min="8204" max="8204" width="2" style="83" customWidth="1"/>
    <col min="8205" max="8205" width="1" style="83" customWidth="1"/>
    <col min="8206" max="8206" width="12.109375" style="83" customWidth="1"/>
    <col min="8207" max="8207" width="15.109375" style="83" customWidth="1"/>
    <col min="8208" max="8209" width="13.109375" style="83" customWidth="1"/>
    <col min="8210" max="8448" width="9.109375" style="83"/>
    <col min="8449" max="8449" width="5.5546875" style="83" customWidth="1"/>
    <col min="8450" max="8450" width="15.33203125" style="83" customWidth="1"/>
    <col min="8451" max="8451" width="38" style="83" customWidth="1"/>
    <col min="8452" max="8452" width="31.6640625" style="83" customWidth="1"/>
    <col min="8453" max="8453" width="18.33203125" style="83" customWidth="1"/>
    <col min="8454" max="8454" width="8.6640625" style="83" customWidth="1"/>
    <col min="8455" max="8455" width="14.33203125" style="83" customWidth="1"/>
    <col min="8456" max="8456" width="11.5546875" style="83" customWidth="1"/>
    <col min="8457" max="8457" width="18.109375" style="83" customWidth="1"/>
    <col min="8458" max="8458" width="8.6640625" style="83" customWidth="1"/>
    <col min="8459" max="8459" width="11.33203125" style="83" customWidth="1"/>
    <col min="8460" max="8460" width="2" style="83" customWidth="1"/>
    <col min="8461" max="8461" width="1" style="83" customWidth="1"/>
    <col min="8462" max="8462" width="12.109375" style="83" customWidth="1"/>
    <col min="8463" max="8463" width="15.109375" style="83" customWidth="1"/>
    <col min="8464" max="8465" width="13.109375" style="83" customWidth="1"/>
    <col min="8466" max="8704" width="9.109375" style="83"/>
    <col min="8705" max="8705" width="5.5546875" style="83" customWidth="1"/>
    <col min="8706" max="8706" width="15.33203125" style="83" customWidth="1"/>
    <col min="8707" max="8707" width="38" style="83" customWidth="1"/>
    <col min="8708" max="8708" width="31.6640625" style="83" customWidth="1"/>
    <col min="8709" max="8709" width="18.33203125" style="83" customWidth="1"/>
    <col min="8710" max="8710" width="8.6640625" style="83" customWidth="1"/>
    <col min="8711" max="8711" width="14.33203125" style="83" customWidth="1"/>
    <col min="8712" max="8712" width="11.5546875" style="83" customWidth="1"/>
    <col min="8713" max="8713" width="18.109375" style="83" customWidth="1"/>
    <col min="8714" max="8714" width="8.6640625" style="83" customWidth="1"/>
    <col min="8715" max="8715" width="11.33203125" style="83" customWidth="1"/>
    <col min="8716" max="8716" width="2" style="83" customWidth="1"/>
    <col min="8717" max="8717" width="1" style="83" customWidth="1"/>
    <col min="8718" max="8718" width="12.109375" style="83" customWidth="1"/>
    <col min="8719" max="8719" width="15.109375" style="83" customWidth="1"/>
    <col min="8720" max="8721" width="13.109375" style="83" customWidth="1"/>
    <col min="8722" max="8960" width="9.109375" style="83"/>
    <col min="8961" max="8961" width="5.5546875" style="83" customWidth="1"/>
    <col min="8962" max="8962" width="15.33203125" style="83" customWidth="1"/>
    <col min="8963" max="8963" width="38" style="83" customWidth="1"/>
    <col min="8964" max="8964" width="31.6640625" style="83" customWidth="1"/>
    <col min="8965" max="8965" width="18.33203125" style="83" customWidth="1"/>
    <col min="8966" max="8966" width="8.6640625" style="83" customWidth="1"/>
    <col min="8967" max="8967" width="14.33203125" style="83" customWidth="1"/>
    <col min="8968" max="8968" width="11.5546875" style="83" customWidth="1"/>
    <col min="8969" max="8969" width="18.109375" style="83" customWidth="1"/>
    <col min="8970" max="8970" width="8.6640625" style="83" customWidth="1"/>
    <col min="8971" max="8971" width="11.33203125" style="83" customWidth="1"/>
    <col min="8972" max="8972" width="2" style="83" customWidth="1"/>
    <col min="8973" max="8973" width="1" style="83" customWidth="1"/>
    <col min="8974" max="8974" width="12.109375" style="83" customWidth="1"/>
    <col min="8975" max="8975" width="15.109375" style="83" customWidth="1"/>
    <col min="8976" max="8977" width="13.109375" style="83" customWidth="1"/>
    <col min="8978" max="9216" width="9.109375" style="83"/>
    <col min="9217" max="9217" width="5.5546875" style="83" customWidth="1"/>
    <col min="9218" max="9218" width="15.33203125" style="83" customWidth="1"/>
    <col min="9219" max="9219" width="38" style="83" customWidth="1"/>
    <col min="9220" max="9220" width="31.6640625" style="83" customWidth="1"/>
    <col min="9221" max="9221" width="18.33203125" style="83" customWidth="1"/>
    <col min="9222" max="9222" width="8.6640625" style="83" customWidth="1"/>
    <col min="9223" max="9223" width="14.33203125" style="83" customWidth="1"/>
    <col min="9224" max="9224" width="11.5546875" style="83" customWidth="1"/>
    <col min="9225" max="9225" width="18.109375" style="83" customWidth="1"/>
    <col min="9226" max="9226" width="8.6640625" style="83" customWidth="1"/>
    <col min="9227" max="9227" width="11.33203125" style="83" customWidth="1"/>
    <col min="9228" max="9228" width="2" style="83" customWidth="1"/>
    <col min="9229" max="9229" width="1" style="83" customWidth="1"/>
    <col min="9230" max="9230" width="12.109375" style="83" customWidth="1"/>
    <col min="9231" max="9231" width="15.109375" style="83" customWidth="1"/>
    <col min="9232" max="9233" width="13.109375" style="83" customWidth="1"/>
    <col min="9234" max="9472" width="9.109375" style="83"/>
    <col min="9473" max="9473" width="5.5546875" style="83" customWidth="1"/>
    <col min="9474" max="9474" width="15.33203125" style="83" customWidth="1"/>
    <col min="9475" max="9475" width="38" style="83" customWidth="1"/>
    <col min="9476" max="9476" width="31.6640625" style="83" customWidth="1"/>
    <col min="9477" max="9477" width="18.33203125" style="83" customWidth="1"/>
    <col min="9478" max="9478" width="8.6640625" style="83" customWidth="1"/>
    <col min="9479" max="9479" width="14.33203125" style="83" customWidth="1"/>
    <col min="9480" max="9480" width="11.5546875" style="83" customWidth="1"/>
    <col min="9481" max="9481" width="18.109375" style="83" customWidth="1"/>
    <col min="9482" max="9482" width="8.6640625" style="83" customWidth="1"/>
    <col min="9483" max="9483" width="11.33203125" style="83" customWidth="1"/>
    <col min="9484" max="9484" width="2" style="83" customWidth="1"/>
    <col min="9485" max="9485" width="1" style="83" customWidth="1"/>
    <col min="9486" max="9486" width="12.109375" style="83" customWidth="1"/>
    <col min="9487" max="9487" width="15.109375" style="83" customWidth="1"/>
    <col min="9488" max="9489" width="13.109375" style="83" customWidth="1"/>
    <col min="9490" max="9728" width="9.109375" style="83"/>
    <col min="9729" max="9729" width="5.5546875" style="83" customWidth="1"/>
    <col min="9730" max="9730" width="15.33203125" style="83" customWidth="1"/>
    <col min="9731" max="9731" width="38" style="83" customWidth="1"/>
    <col min="9732" max="9732" width="31.6640625" style="83" customWidth="1"/>
    <col min="9733" max="9733" width="18.33203125" style="83" customWidth="1"/>
    <col min="9734" max="9734" width="8.6640625" style="83" customWidth="1"/>
    <col min="9735" max="9735" width="14.33203125" style="83" customWidth="1"/>
    <col min="9736" max="9736" width="11.5546875" style="83" customWidth="1"/>
    <col min="9737" max="9737" width="18.109375" style="83" customWidth="1"/>
    <col min="9738" max="9738" width="8.6640625" style="83" customWidth="1"/>
    <col min="9739" max="9739" width="11.33203125" style="83" customWidth="1"/>
    <col min="9740" max="9740" width="2" style="83" customWidth="1"/>
    <col min="9741" max="9741" width="1" style="83" customWidth="1"/>
    <col min="9742" max="9742" width="12.109375" style="83" customWidth="1"/>
    <col min="9743" max="9743" width="15.109375" style="83" customWidth="1"/>
    <col min="9744" max="9745" width="13.109375" style="83" customWidth="1"/>
    <col min="9746" max="9984" width="9.109375" style="83"/>
    <col min="9985" max="9985" width="5.5546875" style="83" customWidth="1"/>
    <col min="9986" max="9986" width="15.33203125" style="83" customWidth="1"/>
    <col min="9987" max="9987" width="38" style="83" customWidth="1"/>
    <col min="9988" max="9988" width="31.6640625" style="83" customWidth="1"/>
    <col min="9989" max="9989" width="18.33203125" style="83" customWidth="1"/>
    <col min="9990" max="9990" width="8.6640625" style="83" customWidth="1"/>
    <col min="9991" max="9991" width="14.33203125" style="83" customWidth="1"/>
    <col min="9992" max="9992" width="11.5546875" style="83" customWidth="1"/>
    <col min="9993" max="9993" width="18.109375" style="83" customWidth="1"/>
    <col min="9994" max="9994" width="8.6640625" style="83" customWidth="1"/>
    <col min="9995" max="9995" width="11.33203125" style="83" customWidth="1"/>
    <col min="9996" max="9996" width="2" style="83" customWidth="1"/>
    <col min="9997" max="9997" width="1" style="83" customWidth="1"/>
    <col min="9998" max="9998" width="12.109375" style="83" customWidth="1"/>
    <col min="9999" max="9999" width="15.109375" style="83" customWidth="1"/>
    <col min="10000" max="10001" width="13.109375" style="83" customWidth="1"/>
    <col min="10002" max="10240" width="9.109375" style="83"/>
    <col min="10241" max="10241" width="5.5546875" style="83" customWidth="1"/>
    <col min="10242" max="10242" width="15.33203125" style="83" customWidth="1"/>
    <col min="10243" max="10243" width="38" style="83" customWidth="1"/>
    <col min="10244" max="10244" width="31.6640625" style="83" customWidth="1"/>
    <col min="10245" max="10245" width="18.33203125" style="83" customWidth="1"/>
    <col min="10246" max="10246" width="8.6640625" style="83" customWidth="1"/>
    <col min="10247" max="10247" width="14.33203125" style="83" customWidth="1"/>
    <col min="10248" max="10248" width="11.5546875" style="83" customWidth="1"/>
    <col min="10249" max="10249" width="18.109375" style="83" customWidth="1"/>
    <col min="10250" max="10250" width="8.6640625" style="83" customWidth="1"/>
    <col min="10251" max="10251" width="11.33203125" style="83" customWidth="1"/>
    <col min="10252" max="10252" width="2" style="83" customWidth="1"/>
    <col min="10253" max="10253" width="1" style="83" customWidth="1"/>
    <col min="10254" max="10254" width="12.109375" style="83" customWidth="1"/>
    <col min="10255" max="10255" width="15.109375" style="83" customWidth="1"/>
    <col min="10256" max="10257" width="13.109375" style="83" customWidth="1"/>
    <col min="10258" max="10496" width="9.109375" style="83"/>
    <col min="10497" max="10497" width="5.5546875" style="83" customWidth="1"/>
    <col min="10498" max="10498" width="15.33203125" style="83" customWidth="1"/>
    <col min="10499" max="10499" width="38" style="83" customWidth="1"/>
    <col min="10500" max="10500" width="31.6640625" style="83" customWidth="1"/>
    <col min="10501" max="10501" width="18.33203125" style="83" customWidth="1"/>
    <col min="10502" max="10502" width="8.6640625" style="83" customWidth="1"/>
    <col min="10503" max="10503" width="14.33203125" style="83" customWidth="1"/>
    <col min="10504" max="10504" width="11.5546875" style="83" customWidth="1"/>
    <col min="10505" max="10505" width="18.109375" style="83" customWidth="1"/>
    <col min="10506" max="10506" width="8.6640625" style="83" customWidth="1"/>
    <col min="10507" max="10507" width="11.33203125" style="83" customWidth="1"/>
    <col min="10508" max="10508" width="2" style="83" customWidth="1"/>
    <col min="10509" max="10509" width="1" style="83" customWidth="1"/>
    <col min="10510" max="10510" width="12.109375" style="83" customWidth="1"/>
    <col min="10511" max="10511" width="15.109375" style="83" customWidth="1"/>
    <col min="10512" max="10513" width="13.109375" style="83" customWidth="1"/>
    <col min="10514" max="10752" width="9.109375" style="83"/>
    <col min="10753" max="10753" width="5.5546875" style="83" customWidth="1"/>
    <col min="10754" max="10754" width="15.33203125" style="83" customWidth="1"/>
    <col min="10755" max="10755" width="38" style="83" customWidth="1"/>
    <col min="10756" max="10756" width="31.6640625" style="83" customWidth="1"/>
    <col min="10757" max="10757" width="18.33203125" style="83" customWidth="1"/>
    <col min="10758" max="10758" width="8.6640625" style="83" customWidth="1"/>
    <col min="10759" max="10759" width="14.33203125" style="83" customWidth="1"/>
    <col min="10760" max="10760" width="11.5546875" style="83" customWidth="1"/>
    <col min="10761" max="10761" width="18.109375" style="83" customWidth="1"/>
    <col min="10762" max="10762" width="8.6640625" style="83" customWidth="1"/>
    <col min="10763" max="10763" width="11.33203125" style="83" customWidth="1"/>
    <col min="10764" max="10764" width="2" style="83" customWidth="1"/>
    <col min="10765" max="10765" width="1" style="83" customWidth="1"/>
    <col min="10766" max="10766" width="12.109375" style="83" customWidth="1"/>
    <col min="10767" max="10767" width="15.109375" style="83" customWidth="1"/>
    <col min="10768" max="10769" width="13.109375" style="83" customWidth="1"/>
    <col min="10770" max="11008" width="9.109375" style="83"/>
    <col min="11009" max="11009" width="5.5546875" style="83" customWidth="1"/>
    <col min="11010" max="11010" width="15.33203125" style="83" customWidth="1"/>
    <col min="11011" max="11011" width="38" style="83" customWidth="1"/>
    <col min="11012" max="11012" width="31.6640625" style="83" customWidth="1"/>
    <col min="11013" max="11013" width="18.33203125" style="83" customWidth="1"/>
    <col min="11014" max="11014" width="8.6640625" style="83" customWidth="1"/>
    <col min="11015" max="11015" width="14.33203125" style="83" customWidth="1"/>
    <col min="11016" max="11016" width="11.5546875" style="83" customWidth="1"/>
    <col min="11017" max="11017" width="18.109375" style="83" customWidth="1"/>
    <col min="11018" max="11018" width="8.6640625" style="83" customWidth="1"/>
    <col min="11019" max="11019" width="11.33203125" style="83" customWidth="1"/>
    <col min="11020" max="11020" width="2" style="83" customWidth="1"/>
    <col min="11021" max="11021" width="1" style="83" customWidth="1"/>
    <col min="11022" max="11022" width="12.109375" style="83" customWidth="1"/>
    <col min="11023" max="11023" width="15.109375" style="83" customWidth="1"/>
    <col min="11024" max="11025" width="13.109375" style="83" customWidth="1"/>
    <col min="11026" max="11264" width="9.109375" style="83"/>
    <col min="11265" max="11265" width="5.5546875" style="83" customWidth="1"/>
    <col min="11266" max="11266" width="15.33203125" style="83" customWidth="1"/>
    <col min="11267" max="11267" width="38" style="83" customWidth="1"/>
    <col min="11268" max="11268" width="31.6640625" style="83" customWidth="1"/>
    <col min="11269" max="11269" width="18.33203125" style="83" customWidth="1"/>
    <col min="11270" max="11270" width="8.6640625" style="83" customWidth="1"/>
    <col min="11271" max="11271" width="14.33203125" style="83" customWidth="1"/>
    <col min="11272" max="11272" width="11.5546875" style="83" customWidth="1"/>
    <col min="11273" max="11273" width="18.109375" style="83" customWidth="1"/>
    <col min="11274" max="11274" width="8.6640625" style="83" customWidth="1"/>
    <col min="11275" max="11275" width="11.33203125" style="83" customWidth="1"/>
    <col min="11276" max="11276" width="2" style="83" customWidth="1"/>
    <col min="11277" max="11277" width="1" style="83" customWidth="1"/>
    <col min="11278" max="11278" width="12.109375" style="83" customWidth="1"/>
    <col min="11279" max="11279" width="15.109375" style="83" customWidth="1"/>
    <col min="11280" max="11281" width="13.109375" style="83" customWidth="1"/>
    <col min="11282" max="11520" width="9.109375" style="83"/>
    <col min="11521" max="11521" width="5.5546875" style="83" customWidth="1"/>
    <col min="11522" max="11522" width="15.33203125" style="83" customWidth="1"/>
    <col min="11523" max="11523" width="38" style="83" customWidth="1"/>
    <col min="11524" max="11524" width="31.6640625" style="83" customWidth="1"/>
    <col min="11525" max="11525" width="18.33203125" style="83" customWidth="1"/>
    <col min="11526" max="11526" width="8.6640625" style="83" customWidth="1"/>
    <col min="11527" max="11527" width="14.33203125" style="83" customWidth="1"/>
    <col min="11528" max="11528" width="11.5546875" style="83" customWidth="1"/>
    <col min="11529" max="11529" width="18.109375" style="83" customWidth="1"/>
    <col min="11530" max="11530" width="8.6640625" style="83" customWidth="1"/>
    <col min="11531" max="11531" width="11.33203125" style="83" customWidth="1"/>
    <col min="11532" max="11532" width="2" style="83" customWidth="1"/>
    <col min="11533" max="11533" width="1" style="83" customWidth="1"/>
    <col min="11534" max="11534" width="12.109375" style="83" customWidth="1"/>
    <col min="11535" max="11535" width="15.109375" style="83" customWidth="1"/>
    <col min="11536" max="11537" width="13.109375" style="83" customWidth="1"/>
    <col min="11538" max="11776" width="9.109375" style="83"/>
    <col min="11777" max="11777" width="5.5546875" style="83" customWidth="1"/>
    <col min="11778" max="11778" width="15.33203125" style="83" customWidth="1"/>
    <col min="11779" max="11779" width="38" style="83" customWidth="1"/>
    <col min="11780" max="11780" width="31.6640625" style="83" customWidth="1"/>
    <col min="11781" max="11781" width="18.33203125" style="83" customWidth="1"/>
    <col min="11782" max="11782" width="8.6640625" style="83" customWidth="1"/>
    <col min="11783" max="11783" width="14.33203125" style="83" customWidth="1"/>
    <col min="11784" max="11784" width="11.5546875" style="83" customWidth="1"/>
    <col min="11785" max="11785" width="18.109375" style="83" customWidth="1"/>
    <col min="11786" max="11786" width="8.6640625" style="83" customWidth="1"/>
    <col min="11787" max="11787" width="11.33203125" style="83" customWidth="1"/>
    <col min="11788" max="11788" width="2" style="83" customWidth="1"/>
    <col min="11789" max="11789" width="1" style="83" customWidth="1"/>
    <col min="11790" max="11790" width="12.109375" style="83" customWidth="1"/>
    <col min="11791" max="11791" width="15.109375" style="83" customWidth="1"/>
    <col min="11792" max="11793" width="13.109375" style="83" customWidth="1"/>
    <col min="11794" max="12032" width="9.109375" style="83"/>
    <col min="12033" max="12033" width="5.5546875" style="83" customWidth="1"/>
    <col min="12034" max="12034" width="15.33203125" style="83" customWidth="1"/>
    <col min="12035" max="12035" width="38" style="83" customWidth="1"/>
    <col min="12036" max="12036" width="31.6640625" style="83" customWidth="1"/>
    <col min="12037" max="12037" width="18.33203125" style="83" customWidth="1"/>
    <col min="12038" max="12038" width="8.6640625" style="83" customWidth="1"/>
    <col min="12039" max="12039" width="14.33203125" style="83" customWidth="1"/>
    <col min="12040" max="12040" width="11.5546875" style="83" customWidth="1"/>
    <col min="12041" max="12041" width="18.109375" style="83" customWidth="1"/>
    <col min="12042" max="12042" width="8.6640625" style="83" customWidth="1"/>
    <col min="12043" max="12043" width="11.33203125" style="83" customWidth="1"/>
    <col min="12044" max="12044" width="2" style="83" customWidth="1"/>
    <col min="12045" max="12045" width="1" style="83" customWidth="1"/>
    <col min="12046" max="12046" width="12.109375" style="83" customWidth="1"/>
    <col min="12047" max="12047" width="15.109375" style="83" customWidth="1"/>
    <col min="12048" max="12049" width="13.109375" style="83" customWidth="1"/>
    <col min="12050" max="12288" width="9.109375" style="83"/>
    <col min="12289" max="12289" width="5.5546875" style="83" customWidth="1"/>
    <col min="12290" max="12290" width="15.33203125" style="83" customWidth="1"/>
    <col min="12291" max="12291" width="38" style="83" customWidth="1"/>
    <col min="12292" max="12292" width="31.6640625" style="83" customWidth="1"/>
    <col min="12293" max="12293" width="18.33203125" style="83" customWidth="1"/>
    <col min="12294" max="12294" width="8.6640625" style="83" customWidth="1"/>
    <col min="12295" max="12295" width="14.33203125" style="83" customWidth="1"/>
    <col min="12296" max="12296" width="11.5546875" style="83" customWidth="1"/>
    <col min="12297" max="12297" width="18.109375" style="83" customWidth="1"/>
    <col min="12298" max="12298" width="8.6640625" style="83" customWidth="1"/>
    <col min="12299" max="12299" width="11.33203125" style="83" customWidth="1"/>
    <col min="12300" max="12300" width="2" style="83" customWidth="1"/>
    <col min="12301" max="12301" width="1" style="83" customWidth="1"/>
    <col min="12302" max="12302" width="12.109375" style="83" customWidth="1"/>
    <col min="12303" max="12303" width="15.109375" style="83" customWidth="1"/>
    <col min="12304" max="12305" width="13.109375" style="83" customWidth="1"/>
    <col min="12306" max="12544" width="9.109375" style="83"/>
    <col min="12545" max="12545" width="5.5546875" style="83" customWidth="1"/>
    <col min="12546" max="12546" width="15.33203125" style="83" customWidth="1"/>
    <col min="12547" max="12547" width="38" style="83" customWidth="1"/>
    <col min="12548" max="12548" width="31.6640625" style="83" customWidth="1"/>
    <col min="12549" max="12549" width="18.33203125" style="83" customWidth="1"/>
    <col min="12550" max="12550" width="8.6640625" style="83" customWidth="1"/>
    <col min="12551" max="12551" width="14.33203125" style="83" customWidth="1"/>
    <col min="12552" max="12552" width="11.5546875" style="83" customWidth="1"/>
    <col min="12553" max="12553" width="18.109375" style="83" customWidth="1"/>
    <col min="12554" max="12554" width="8.6640625" style="83" customWidth="1"/>
    <col min="12555" max="12555" width="11.33203125" style="83" customWidth="1"/>
    <col min="12556" max="12556" width="2" style="83" customWidth="1"/>
    <col min="12557" max="12557" width="1" style="83" customWidth="1"/>
    <col min="12558" max="12558" width="12.109375" style="83" customWidth="1"/>
    <col min="12559" max="12559" width="15.109375" style="83" customWidth="1"/>
    <col min="12560" max="12561" width="13.109375" style="83" customWidth="1"/>
    <col min="12562" max="12800" width="9.109375" style="83"/>
    <col min="12801" max="12801" width="5.5546875" style="83" customWidth="1"/>
    <col min="12802" max="12802" width="15.33203125" style="83" customWidth="1"/>
    <col min="12803" max="12803" width="38" style="83" customWidth="1"/>
    <col min="12804" max="12804" width="31.6640625" style="83" customWidth="1"/>
    <col min="12805" max="12805" width="18.33203125" style="83" customWidth="1"/>
    <col min="12806" max="12806" width="8.6640625" style="83" customWidth="1"/>
    <col min="12807" max="12807" width="14.33203125" style="83" customWidth="1"/>
    <col min="12808" max="12808" width="11.5546875" style="83" customWidth="1"/>
    <col min="12809" max="12809" width="18.109375" style="83" customWidth="1"/>
    <col min="12810" max="12810" width="8.6640625" style="83" customWidth="1"/>
    <col min="12811" max="12811" width="11.33203125" style="83" customWidth="1"/>
    <col min="12812" max="12812" width="2" style="83" customWidth="1"/>
    <col min="12813" max="12813" width="1" style="83" customWidth="1"/>
    <col min="12814" max="12814" width="12.109375" style="83" customWidth="1"/>
    <col min="12815" max="12815" width="15.109375" style="83" customWidth="1"/>
    <col min="12816" max="12817" width="13.109375" style="83" customWidth="1"/>
    <col min="12818" max="13056" width="9.109375" style="83"/>
    <col min="13057" max="13057" width="5.5546875" style="83" customWidth="1"/>
    <col min="13058" max="13058" width="15.33203125" style="83" customWidth="1"/>
    <col min="13059" max="13059" width="38" style="83" customWidth="1"/>
    <col min="13060" max="13060" width="31.6640625" style="83" customWidth="1"/>
    <col min="13061" max="13061" width="18.33203125" style="83" customWidth="1"/>
    <col min="13062" max="13062" width="8.6640625" style="83" customWidth="1"/>
    <col min="13063" max="13063" width="14.33203125" style="83" customWidth="1"/>
    <col min="13064" max="13064" width="11.5546875" style="83" customWidth="1"/>
    <col min="13065" max="13065" width="18.109375" style="83" customWidth="1"/>
    <col min="13066" max="13066" width="8.6640625" style="83" customWidth="1"/>
    <col min="13067" max="13067" width="11.33203125" style="83" customWidth="1"/>
    <col min="13068" max="13068" width="2" style="83" customWidth="1"/>
    <col min="13069" max="13069" width="1" style="83" customWidth="1"/>
    <col min="13070" max="13070" width="12.109375" style="83" customWidth="1"/>
    <col min="13071" max="13071" width="15.109375" style="83" customWidth="1"/>
    <col min="13072" max="13073" width="13.109375" style="83" customWidth="1"/>
    <col min="13074" max="13312" width="9.109375" style="83"/>
    <col min="13313" max="13313" width="5.5546875" style="83" customWidth="1"/>
    <col min="13314" max="13314" width="15.33203125" style="83" customWidth="1"/>
    <col min="13315" max="13315" width="38" style="83" customWidth="1"/>
    <col min="13316" max="13316" width="31.6640625" style="83" customWidth="1"/>
    <col min="13317" max="13317" width="18.33203125" style="83" customWidth="1"/>
    <col min="13318" max="13318" width="8.6640625" style="83" customWidth="1"/>
    <col min="13319" max="13319" width="14.33203125" style="83" customWidth="1"/>
    <col min="13320" max="13320" width="11.5546875" style="83" customWidth="1"/>
    <col min="13321" max="13321" width="18.109375" style="83" customWidth="1"/>
    <col min="13322" max="13322" width="8.6640625" style="83" customWidth="1"/>
    <col min="13323" max="13323" width="11.33203125" style="83" customWidth="1"/>
    <col min="13324" max="13324" width="2" style="83" customWidth="1"/>
    <col min="13325" max="13325" width="1" style="83" customWidth="1"/>
    <col min="13326" max="13326" width="12.109375" style="83" customWidth="1"/>
    <col min="13327" max="13327" width="15.109375" style="83" customWidth="1"/>
    <col min="13328" max="13329" width="13.109375" style="83" customWidth="1"/>
    <col min="13330" max="13568" width="9.109375" style="83"/>
    <col min="13569" max="13569" width="5.5546875" style="83" customWidth="1"/>
    <col min="13570" max="13570" width="15.33203125" style="83" customWidth="1"/>
    <col min="13571" max="13571" width="38" style="83" customWidth="1"/>
    <col min="13572" max="13572" width="31.6640625" style="83" customWidth="1"/>
    <col min="13573" max="13573" width="18.33203125" style="83" customWidth="1"/>
    <col min="13574" max="13574" width="8.6640625" style="83" customWidth="1"/>
    <col min="13575" max="13575" width="14.33203125" style="83" customWidth="1"/>
    <col min="13576" max="13576" width="11.5546875" style="83" customWidth="1"/>
    <col min="13577" max="13577" width="18.109375" style="83" customWidth="1"/>
    <col min="13578" max="13578" width="8.6640625" style="83" customWidth="1"/>
    <col min="13579" max="13579" width="11.33203125" style="83" customWidth="1"/>
    <col min="13580" max="13580" width="2" style="83" customWidth="1"/>
    <col min="13581" max="13581" width="1" style="83" customWidth="1"/>
    <col min="13582" max="13582" width="12.109375" style="83" customWidth="1"/>
    <col min="13583" max="13583" width="15.109375" style="83" customWidth="1"/>
    <col min="13584" max="13585" width="13.109375" style="83" customWidth="1"/>
    <col min="13586" max="13824" width="9.109375" style="83"/>
    <col min="13825" max="13825" width="5.5546875" style="83" customWidth="1"/>
    <col min="13826" max="13826" width="15.33203125" style="83" customWidth="1"/>
    <col min="13827" max="13827" width="38" style="83" customWidth="1"/>
    <col min="13828" max="13828" width="31.6640625" style="83" customWidth="1"/>
    <col min="13829" max="13829" width="18.33203125" style="83" customWidth="1"/>
    <col min="13830" max="13830" width="8.6640625" style="83" customWidth="1"/>
    <col min="13831" max="13831" width="14.33203125" style="83" customWidth="1"/>
    <col min="13832" max="13832" width="11.5546875" style="83" customWidth="1"/>
    <col min="13833" max="13833" width="18.109375" style="83" customWidth="1"/>
    <col min="13834" max="13834" width="8.6640625" style="83" customWidth="1"/>
    <col min="13835" max="13835" width="11.33203125" style="83" customWidth="1"/>
    <col min="13836" max="13836" width="2" style="83" customWidth="1"/>
    <col min="13837" max="13837" width="1" style="83" customWidth="1"/>
    <col min="13838" max="13838" width="12.109375" style="83" customWidth="1"/>
    <col min="13839" max="13839" width="15.109375" style="83" customWidth="1"/>
    <col min="13840" max="13841" width="13.109375" style="83" customWidth="1"/>
    <col min="13842" max="14080" width="9.109375" style="83"/>
    <col min="14081" max="14081" width="5.5546875" style="83" customWidth="1"/>
    <col min="14082" max="14082" width="15.33203125" style="83" customWidth="1"/>
    <col min="14083" max="14083" width="38" style="83" customWidth="1"/>
    <col min="14084" max="14084" width="31.6640625" style="83" customWidth="1"/>
    <col min="14085" max="14085" width="18.33203125" style="83" customWidth="1"/>
    <col min="14086" max="14086" width="8.6640625" style="83" customWidth="1"/>
    <col min="14087" max="14087" width="14.33203125" style="83" customWidth="1"/>
    <col min="14088" max="14088" width="11.5546875" style="83" customWidth="1"/>
    <col min="14089" max="14089" width="18.109375" style="83" customWidth="1"/>
    <col min="14090" max="14090" width="8.6640625" style="83" customWidth="1"/>
    <col min="14091" max="14091" width="11.33203125" style="83" customWidth="1"/>
    <col min="14092" max="14092" width="2" style="83" customWidth="1"/>
    <col min="14093" max="14093" width="1" style="83" customWidth="1"/>
    <col min="14094" max="14094" width="12.109375" style="83" customWidth="1"/>
    <col min="14095" max="14095" width="15.109375" style="83" customWidth="1"/>
    <col min="14096" max="14097" width="13.109375" style="83" customWidth="1"/>
    <col min="14098" max="14336" width="9.109375" style="83"/>
    <col min="14337" max="14337" width="5.5546875" style="83" customWidth="1"/>
    <col min="14338" max="14338" width="15.33203125" style="83" customWidth="1"/>
    <col min="14339" max="14339" width="38" style="83" customWidth="1"/>
    <col min="14340" max="14340" width="31.6640625" style="83" customWidth="1"/>
    <col min="14341" max="14341" width="18.33203125" style="83" customWidth="1"/>
    <col min="14342" max="14342" width="8.6640625" style="83" customWidth="1"/>
    <col min="14343" max="14343" width="14.33203125" style="83" customWidth="1"/>
    <col min="14344" max="14344" width="11.5546875" style="83" customWidth="1"/>
    <col min="14345" max="14345" width="18.109375" style="83" customWidth="1"/>
    <col min="14346" max="14346" width="8.6640625" style="83" customWidth="1"/>
    <col min="14347" max="14347" width="11.33203125" style="83" customWidth="1"/>
    <col min="14348" max="14348" width="2" style="83" customWidth="1"/>
    <col min="14349" max="14349" width="1" style="83" customWidth="1"/>
    <col min="14350" max="14350" width="12.109375" style="83" customWidth="1"/>
    <col min="14351" max="14351" width="15.109375" style="83" customWidth="1"/>
    <col min="14352" max="14353" width="13.109375" style="83" customWidth="1"/>
    <col min="14354" max="14592" width="9.109375" style="83"/>
    <col min="14593" max="14593" width="5.5546875" style="83" customWidth="1"/>
    <col min="14594" max="14594" width="15.33203125" style="83" customWidth="1"/>
    <col min="14595" max="14595" width="38" style="83" customWidth="1"/>
    <col min="14596" max="14596" width="31.6640625" style="83" customWidth="1"/>
    <col min="14597" max="14597" width="18.33203125" style="83" customWidth="1"/>
    <col min="14598" max="14598" width="8.6640625" style="83" customWidth="1"/>
    <col min="14599" max="14599" width="14.33203125" style="83" customWidth="1"/>
    <col min="14600" max="14600" width="11.5546875" style="83" customWidth="1"/>
    <col min="14601" max="14601" width="18.109375" style="83" customWidth="1"/>
    <col min="14602" max="14602" width="8.6640625" style="83" customWidth="1"/>
    <col min="14603" max="14603" width="11.33203125" style="83" customWidth="1"/>
    <col min="14604" max="14604" width="2" style="83" customWidth="1"/>
    <col min="14605" max="14605" width="1" style="83" customWidth="1"/>
    <col min="14606" max="14606" width="12.109375" style="83" customWidth="1"/>
    <col min="14607" max="14607" width="15.109375" style="83" customWidth="1"/>
    <col min="14608" max="14609" width="13.109375" style="83" customWidth="1"/>
    <col min="14610" max="14848" width="9.109375" style="83"/>
    <col min="14849" max="14849" width="5.5546875" style="83" customWidth="1"/>
    <col min="14850" max="14850" width="15.33203125" style="83" customWidth="1"/>
    <col min="14851" max="14851" width="38" style="83" customWidth="1"/>
    <col min="14852" max="14852" width="31.6640625" style="83" customWidth="1"/>
    <col min="14853" max="14853" width="18.33203125" style="83" customWidth="1"/>
    <col min="14854" max="14854" width="8.6640625" style="83" customWidth="1"/>
    <col min="14855" max="14855" width="14.33203125" style="83" customWidth="1"/>
    <col min="14856" max="14856" width="11.5546875" style="83" customWidth="1"/>
    <col min="14857" max="14857" width="18.109375" style="83" customWidth="1"/>
    <col min="14858" max="14858" width="8.6640625" style="83" customWidth="1"/>
    <col min="14859" max="14859" width="11.33203125" style="83" customWidth="1"/>
    <col min="14860" max="14860" width="2" style="83" customWidth="1"/>
    <col min="14861" max="14861" width="1" style="83" customWidth="1"/>
    <col min="14862" max="14862" width="12.109375" style="83" customWidth="1"/>
    <col min="14863" max="14863" width="15.109375" style="83" customWidth="1"/>
    <col min="14864" max="14865" width="13.109375" style="83" customWidth="1"/>
    <col min="14866" max="15104" width="9.109375" style="83"/>
    <col min="15105" max="15105" width="5.5546875" style="83" customWidth="1"/>
    <col min="15106" max="15106" width="15.33203125" style="83" customWidth="1"/>
    <col min="15107" max="15107" width="38" style="83" customWidth="1"/>
    <col min="15108" max="15108" width="31.6640625" style="83" customWidth="1"/>
    <col min="15109" max="15109" width="18.33203125" style="83" customWidth="1"/>
    <col min="15110" max="15110" width="8.6640625" style="83" customWidth="1"/>
    <col min="15111" max="15111" width="14.33203125" style="83" customWidth="1"/>
    <col min="15112" max="15112" width="11.5546875" style="83" customWidth="1"/>
    <col min="15113" max="15113" width="18.109375" style="83" customWidth="1"/>
    <col min="15114" max="15114" width="8.6640625" style="83" customWidth="1"/>
    <col min="15115" max="15115" width="11.33203125" style="83" customWidth="1"/>
    <col min="15116" max="15116" width="2" style="83" customWidth="1"/>
    <col min="15117" max="15117" width="1" style="83" customWidth="1"/>
    <col min="15118" max="15118" width="12.109375" style="83" customWidth="1"/>
    <col min="15119" max="15119" width="15.109375" style="83" customWidth="1"/>
    <col min="15120" max="15121" width="13.109375" style="83" customWidth="1"/>
    <col min="15122" max="15360" width="9.109375" style="83"/>
    <col min="15361" max="15361" width="5.5546875" style="83" customWidth="1"/>
    <col min="15362" max="15362" width="15.33203125" style="83" customWidth="1"/>
    <col min="15363" max="15363" width="38" style="83" customWidth="1"/>
    <col min="15364" max="15364" width="31.6640625" style="83" customWidth="1"/>
    <col min="15365" max="15365" width="18.33203125" style="83" customWidth="1"/>
    <col min="15366" max="15366" width="8.6640625" style="83" customWidth="1"/>
    <col min="15367" max="15367" width="14.33203125" style="83" customWidth="1"/>
    <col min="15368" max="15368" width="11.5546875" style="83" customWidth="1"/>
    <col min="15369" max="15369" width="18.109375" style="83" customWidth="1"/>
    <col min="15370" max="15370" width="8.6640625" style="83" customWidth="1"/>
    <col min="15371" max="15371" width="11.33203125" style="83" customWidth="1"/>
    <col min="15372" max="15372" width="2" style="83" customWidth="1"/>
    <col min="15373" max="15373" width="1" style="83" customWidth="1"/>
    <col min="15374" max="15374" width="12.109375" style="83" customWidth="1"/>
    <col min="15375" max="15375" width="15.109375" style="83" customWidth="1"/>
    <col min="15376" max="15377" width="13.109375" style="83" customWidth="1"/>
    <col min="15378" max="15616" width="9.109375" style="83"/>
    <col min="15617" max="15617" width="5.5546875" style="83" customWidth="1"/>
    <col min="15618" max="15618" width="15.33203125" style="83" customWidth="1"/>
    <col min="15619" max="15619" width="38" style="83" customWidth="1"/>
    <col min="15620" max="15620" width="31.6640625" style="83" customWidth="1"/>
    <col min="15621" max="15621" width="18.33203125" style="83" customWidth="1"/>
    <col min="15622" max="15622" width="8.6640625" style="83" customWidth="1"/>
    <col min="15623" max="15623" width="14.33203125" style="83" customWidth="1"/>
    <col min="15624" max="15624" width="11.5546875" style="83" customWidth="1"/>
    <col min="15625" max="15625" width="18.109375" style="83" customWidth="1"/>
    <col min="15626" max="15626" width="8.6640625" style="83" customWidth="1"/>
    <col min="15627" max="15627" width="11.33203125" style="83" customWidth="1"/>
    <col min="15628" max="15628" width="2" style="83" customWidth="1"/>
    <col min="15629" max="15629" width="1" style="83" customWidth="1"/>
    <col min="15630" max="15630" width="12.109375" style="83" customWidth="1"/>
    <col min="15631" max="15631" width="15.109375" style="83" customWidth="1"/>
    <col min="15632" max="15633" width="13.109375" style="83" customWidth="1"/>
    <col min="15634" max="15872" width="9.109375" style="83"/>
    <col min="15873" max="15873" width="5.5546875" style="83" customWidth="1"/>
    <col min="15874" max="15874" width="15.33203125" style="83" customWidth="1"/>
    <col min="15875" max="15875" width="38" style="83" customWidth="1"/>
    <col min="15876" max="15876" width="31.6640625" style="83" customWidth="1"/>
    <col min="15877" max="15877" width="18.33203125" style="83" customWidth="1"/>
    <col min="15878" max="15878" width="8.6640625" style="83" customWidth="1"/>
    <col min="15879" max="15879" width="14.33203125" style="83" customWidth="1"/>
    <col min="15880" max="15880" width="11.5546875" style="83" customWidth="1"/>
    <col min="15881" max="15881" width="18.109375" style="83" customWidth="1"/>
    <col min="15882" max="15882" width="8.6640625" style="83" customWidth="1"/>
    <col min="15883" max="15883" width="11.33203125" style="83" customWidth="1"/>
    <col min="15884" max="15884" width="2" style="83" customWidth="1"/>
    <col min="15885" max="15885" width="1" style="83" customWidth="1"/>
    <col min="15886" max="15886" width="12.109375" style="83" customWidth="1"/>
    <col min="15887" max="15887" width="15.109375" style="83" customWidth="1"/>
    <col min="15888" max="15889" width="13.109375" style="83" customWidth="1"/>
    <col min="15890" max="16128" width="9.109375" style="83"/>
    <col min="16129" max="16129" width="5.5546875" style="83" customWidth="1"/>
    <col min="16130" max="16130" width="15.33203125" style="83" customWidth="1"/>
    <col min="16131" max="16131" width="38" style="83" customWidth="1"/>
    <col min="16132" max="16132" width="31.6640625" style="83" customWidth="1"/>
    <col min="16133" max="16133" width="18.33203125" style="83" customWidth="1"/>
    <col min="16134" max="16134" width="8.6640625" style="83" customWidth="1"/>
    <col min="16135" max="16135" width="14.33203125" style="83" customWidth="1"/>
    <col min="16136" max="16136" width="11.5546875" style="83" customWidth="1"/>
    <col min="16137" max="16137" width="18.109375" style="83" customWidth="1"/>
    <col min="16138" max="16138" width="8.6640625" style="83" customWidth="1"/>
    <col min="16139" max="16139" width="11.33203125" style="83" customWidth="1"/>
    <col min="16140" max="16140" width="2" style="83" customWidth="1"/>
    <col min="16141" max="16141" width="1" style="83" customWidth="1"/>
    <col min="16142" max="16142" width="12.109375" style="83" customWidth="1"/>
    <col min="16143" max="16143" width="15.109375" style="83" customWidth="1"/>
    <col min="16144" max="16145" width="13.109375" style="83" customWidth="1"/>
    <col min="16146" max="16384" width="9.109375" style="83"/>
  </cols>
  <sheetData>
    <row r="1" spans="1:21" s="80" customFormat="1" ht="24.75" customHeight="1">
      <c r="A1" s="90" t="s">
        <v>658</v>
      </c>
      <c r="B1" s="91" t="s">
        <v>659</v>
      </c>
      <c r="C1" s="92" t="s">
        <v>660</v>
      </c>
      <c r="D1" s="93" t="s">
        <v>661</v>
      </c>
      <c r="E1" s="94" t="s">
        <v>662</v>
      </c>
      <c r="F1" s="95" t="s">
        <v>663</v>
      </c>
      <c r="G1" s="96" t="s">
        <v>664</v>
      </c>
      <c r="H1" s="96" t="s">
        <v>349</v>
      </c>
      <c r="I1" s="106" t="s">
        <v>665</v>
      </c>
      <c r="J1" s="107" t="s">
        <v>666</v>
      </c>
      <c r="K1" s="108" t="s">
        <v>667</v>
      </c>
      <c r="L1" s="109" t="s">
        <v>668</v>
      </c>
      <c r="M1" s="110" t="s">
        <v>669</v>
      </c>
      <c r="N1" s="111" t="s">
        <v>114</v>
      </c>
      <c r="O1" s="112" t="s">
        <v>670</v>
      </c>
      <c r="P1" s="109" t="s">
        <v>671</v>
      </c>
      <c r="Q1" s="121" t="s">
        <v>672</v>
      </c>
      <c r="S1" s="80" t="s">
        <v>673</v>
      </c>
    </row>
    <row r="2" spans="1:21" s="81" customFormat="1" ht="14.4">
      <c r="A2" s="97"/>
      <c r="B2" s="98"/>
      <c r="C2" s="98"/>
      <c r="D2" s="97"/>
      <c r="E2" s="99"/>
      <c r="F2" s="100"/>
      <c r="G2" s="101"/>
      <c r="H2" s="102"/>
      <c r="I2" s="97"/>
      <c r="J2" s="113"/>
      <c r="K2" s="114"/>
      <c r="L2" s="97"/>
      <c r="M2" s="97"/>
      <c r="N2" s="115">
        <f t="shared" ref="N2:N31" si="0">$I39</f>
        <v>0</v>
      </c>
      <c r="O2" s="97">
        <f t="shared" ref="O2:O31" si="1">$F39</f>
        <v>0</v>
      </c>
      <c r="P2" s="97"/>
      <c r="Q2" s="122"/>
      <c r="S2" s="123" t="e">
        <f t="shared" ref="S2:S31" si="2">N2/J2</f>
        <v>#DIV/0!</v>
      </c>
    </row>
    <row r="3" spans="1:21" s="81" customFormat="1" ht="14.4">
      <c r="A3" s="97"/>
      <c r="B3" s="98"/>
      <c r="C3" s="98"/>
      <c r="D3" s="97"/>
      <c r="E3" s="99"/>
      <c r="F3" s="100"/>
      <c r="G3" s="101"/>
      <c r="H3" s="102"/>
      <c r="I3" s="97"/>
      <c r="J3" s="113"/>
      <c r="K3" s="114"/>
      <c r="L3" s="97"/>
      <c r="M3" s="97"/>
      <c r="N3" s="115">
        <f t="shared" si="0"/>
        <v>0</v>
      </c>
      <c r="O3" s="97">
        <f t="shared" si="1"/>
        <v>0</v>
      </c>
      <c r="P3" s="97"/>
      <c r="Q3" s="122"/>
      <c r="S3" s="123" t="e">
        <f t="shared" si="2"/>
        <v>#DIV/0!</v>
      </c>
    </row>
    <row r="4" spans="1:21" s="81" customFormat="1" ht="13.5" customHeight="1">
      <c r="A4" s="97"/>
      <c r="B4" s="98"/>
      <c r="C4" s="98"/>
      <c r="D4" s="97"/>
      <c r="E4" s="99"/>
      <c r="F4" s="100"/>
      <c r="G4" s="101"/>
      <c r="H4" s="102"/>
      <c r="I4" s="97"/>
      <c r="J4" s="113"/>
      <c r="K4" s="114"/>
      <c r="L4" s="97"/>
      <c r="M4" s="97"/>
      <c r="N4" s="115">
        <f t="shared" si="0"/>
        <v>0</v>
      </c>
      <c r="O4" s="97">
        <f t="shared" si="1"/>
        <v>0</v>
      </c>
      <c r="P4" s="97"/>
      <c r="Q4" s="122"/>
      <c r="S4" s="123" t="e">
        <f t="shared" si="2"/>
        <v>#DIV/0!</v>
      </c>
    </row>
    <row r="5" spans="1:21" s="81" customFormat="1" ht="13.5" customHeight="1">
      <c r="A5" s="97"/>
      <c r="B5" s="98"/>
      <c r="C5" s="98"/>
      <c r="D5" s="97"/>
      <c r="E5" s="99"/>
      <c r="F5" s="100"/>
      <c r="G5" s="101"/>
      <c r="H5" s="102"/>
      <c r="I5" s="97"/>
      <c r="J5" s="113"/>
      <c r="K5" s="114"/>
      <c r="L5" s="97"/>
      <c r="M5" s="97"/>
      <c r="N5" s="115">
        <f t="shared" si="0"/>
        <v>0</v>
      </c>
      <c r="O5" s="97">
        <f t="shared" si="1"/>
        <v>0</v>
      </c>
      <c r="P5" s="97"/>
      <c r="Q5" s="122"/>
      <c r="S5" s="123" t="e">
        <f t="shared" si="2"/>
        <v>#DIV/0!</v>
      </c>
      <c r="U5" s="81">
        <v>2.05833333333333</v>
      </c>
    </row>
    <row r="6" spans="1:21" s="81" customFormat="1" ht="14.4">
      <c r="A6" s="97"/>
      <c r="B6" s="98"/>
      <c r="C6" s="98"/>
      <c r="D6" s="97"/>
      <c r="E6" s="99"/>
      <c r="F6" s="100"/>
      <c r="G6" s="101"/>
      <c r="H6" s="102"/>
      <c r="I6" s="97"/>
      <c r="J6" s="113"/>
      <c r="K6" s="114"/>
      <c r="L6" s="97"/>
      <c r="M6" s="97"/>
      <c r="N6" s="115">
        <f t="shared" si="0"/>
        <v>0</v>
      </c>
      <c r="O6" s="97">
        <f t="shared" si="1"/>
        <v>0</v>
      </c>
      <c r="P6" s="97"/>
      <c r="Q6" s="122"/>
      <c r="S6" s="123" t="e">
        <f t="shared" si="2"/>
        <v>#DIV/0!</v>
      </c>
    </row>
    <row r="7" spans="1:21" s="81" customFormat="1" ht="14.4">
      <c r="A7" s="97"/>
      <c r="B7" s="98"/>
      <c r="C7" s="98"/>
      <c r="D7" s="97"/>
      <c r="E7" s="99"/>
      <c r="F7" s="100"/>
      <c r="G7" s="101"/>
      <c r="H7" s="102"/>
      <c r="I7" s="97"/>
      <c r="J7" s="113"/>
      <c r="K7" s="114"/>
      <c r="L7" s="97"/>
      <c r="M7" s="97"/>
      <c r="N7" s="115">
        <f t="shared" si="0"/>
        <v>0</v>
      </c>
      <c r="O7" s="97">
        <f t="shared" si="1"/>
        <v>0</v>
      </c>
      <c r="P7" s="97"/>
      <c r="Q7" s="122"/>
      <c r="S7" s="123" t="e">
        <f t="shared" si="2"/>
        <v>#DIV/0!</v>
      </c>
    </row>
    <row r="8" spans="1:21" s="81" customFormat="1" ht="14.4">
      <c r="A8" s="97"/>
      <c r="B8" s="98"/>
      <c r="C8" s="98"/>
      <c r="D8" s="97"/>
      <c r="E8" s="99"/>
      <c r="F8" s="100"/>
      <c r="G8" s="101"/>
      <c r="H8" s="102"/>
      <c r="I8" s="97"/>
      <c r="J8" s="113"/>
      <c r="K8" s="114"/>
      <c r="L8" s="97"/>
      <c r="M8" s="97"/>
      <c r="N8" s="115">
        <f t="shared" si="0"/>
        <v>0</v>
      </c>
      <c r="O8" s="97">
        <f t="shared" si="1"/>
        <v>0</v>
      </c>
      <c r="P8" s="97"/>
      <c r="Q8" s="122"/>
      <c r="S8" s="123" t="e">
        <f t="shared" si="2"/>
        <v>#DIV/0!</v>
      </c>
    </row>
    <row r="9" spans="1:21" s="81" customFormat="1" ht="14.4">
      <c r="A9" s="97"/>
      <c r="B9" s="98"/>
      <c r="C9" s="98"/>
      <c r="D9" s="97"/>
      <c r="E9" s="99"/>
      <c r="F9" s="100"/>
      <c r="G9" s="101"/>
      <c r="H9" s="102"/>
      <c r="I9" s="97"/>
      <c r="J9" s="113"/>
      <c r="K9" s="114"/>
      <c r="L9" s="97"/>
      <c r="M9" s="97"/>
      <c r="N9" s="115">
        <f t="shared" si="0"/>
        <v>0</v>
      </c>
      <c r="O9" s="97">
        <f t="shared" si="1"/>
        <v>0</v>
      </c>
      <c r="P9" s="97"/>
      <c r="Q9" s="122"/>
      <c r="S9" s="123" t="e">
        <f t="shared" si="2"/>
        <v>#DIV/0!</v>
      </c>
    </row>
    <row r="10" spans="1:21" s="81" customFormat="1" ht="13.5" customHeight="1">
      <c r="A10" s="97"/>
      <c r="B10" s="98"/>
      <c r="C10" s="98"/>
      <c r="D10" s="97"/>
      <c r="E10" s="99"/>
      <c r="F10" s="100"/>
      <c r="G10" s="101"/>
      <c r="H10" s="102"/>
      <c r="I10" s="97"/>
      <c r="J10" s="113"/>
      <c r="K10" s="114"/>
      <c r="L10" s="97"/>
      <c r="M10" s="97"/>
      <c r="N10" s="115">
        <f t="shared" si="0"/>
        <v>0</v>
      </c>
      <c r="O10" s="97">
        <f t="shared" si="1"/>
        <v>0</v>
      </c>
      <c r="P10" s="97"/>
      <c r="Q10" s="122"/>
      <c r="S10" s="123" t="e">
        <f t="shared" si="2"/>
        <v>#DIV/0!</v>
      </c>
    </row>
    <row r="11" spans="1:21" s="81" customFormat="1" ht="13.5" customHeight="1">
      <c r="A11" s="97"/>
      <c r="B11" s="98"/>
      <c r="C11" s="98"/>
      <c r="D11" s="97"/>
      <c r="E11" s="99"/>
      <c r="F11" s="100"/>
      <c r="G11" s="101"/>
      <c r="H11" s="102"/>
      <c r="I11" s="97"/>
      <c r="J11" s="113"/>
      <c r="K11" s="114"/>
      <c r="L11" s="97"/>
      <c r="M11" s="97"/>
      <c r="N11" s="115">
        <f t="shared" si="0"/>
        <v>0</v>
      </c>
      <c r="O11" s="97">
        <f t="shared" si="1"/>
        <v>0</v>
      </c>
      <c r="P11" s="97"/>
      <c r="Q11" s="122"/>
      <c r="S11" s="123" t="e">
        <f t="shared" si="2"/>
        <v>#DIV/0!</v>
      </c>
    </row>
    <row r="12" spans="1:21" s="81" customFormat="1" ht="14.4">
      <c r="A12" s="97"/>
      <c r="B12" s="98"/>
      <c r="C12" s="98"/>
      <c r="D12" s="97"/>
      <c r="E12" s="99"/>
      <c r="F12" s="100"/>
      <c r="G12" s="101"/>
      <c r="H12" s="102"/>
      <c r="I12" s="97"/>
      <c r="J12" s="113"/>
      <c r="K12" s="114"/>
      <c r="L12" s="97"/>
      <c r="M12" s="97"/>
      <c r="N12" s="115">
        <f t="shared" si="0"/>
        <v>0</v>
      </c>
      <c r="O12" s="97">
        <f t="shared" si="1"/>
        <v>0</v>
      </c>
      <c r="P12" s="97"/>
      <c r="Q12" s="122"/>
      <c r="S12" s="123" t="e">
        <f t="shared" si="2"/>
        <v>#DIV/0!</v>
      </c>
    </row>
    <row r="13" spans="1:21" s="81" customFormat="1" ht="14.4">
      <c r="A13" s="97"/>
      <c r="B13" s="98"/>
      <c r="C13" s="98"/>
      <c r="D13" s="97"/>
      <c r="E13" s="99"/>
      <c r="F13" s="100"/>
      <c r="G13" s="101"/>
      <c r="H13" s="102"/>
      <c r="I13" s="97"/>
      <c r="J13" s="113"/>
      <c r="K13" s="114"/>
      <c r="L13" s="97"/>
      <c r="M13" s="97"/>
      <c r="N13" s="115">
        <f t="shared" si="0"/>
        <v>0</v>
      </c>
      <c r="O13" s="97">
        <f t="shared" si="1"/>
        <v>0</v>
      </c>
      <c r="P13" s="97"/>
      <c r="Q13" s="122"/>
      <c r="S13" s="123" t="e">
        <f t="shared" si="2"/>
        <v>#DIV/0!</v>
      </c>
    </row>
    <row r="14" spans="1:21" s="81" customFormat="1" ht="14.4">
      <c r="A14" s="97"/>
      <c r="B14" s="98"/>
      <c r="C14" s="98"/>
      <c r="D14" s="97"/>
      <c r="E14" s="99"/>
      <c r="F14" s="100"/>
      <c r="G14" s="101"/>
      <c r="H14" s="102"/>
      <c r="I14" s="97"/>
      <c r="J14" s="113"/>
      <c r="K14" s="114"/>
      <c r="L14" s="97"/>
      <c r="M14" s="97"/>
      <c r="N14" s="115">
        <f t="shared" si="0"/>
        <v>0</v>
      </c>
      <c r="O14" s="97">
        <f t="shared" si="1"/>
        <v>0</v>
      </c>
      <c r="P14" s="97"/>
      <c r="Q14" s="122"/>
      <c r="S14" s="123" t="e">
        <f t="shared" si="2"/>
        <v>#DIV/0!</v>
      </c>
    </row>
    <row r="15" spans="1:21" s="81" customFormat="1" ht="14.4">
      <c r="A15" s="97"/>
      <c r="B15" s="98"/>
      <c r="C15" s="98"/>
      <c r="D15" s="97"/>
      <c r="E15" s="99"/>
      <c r="F15" s="100"/>
      <c r="G15" s="101"/>
      <c r="H15" s="102"/>
      <c r="I15" s="97"/>
      <c r="J15" s="113"/>
      <c r="K15" s="114"/>
      <c r="L15" s="97"/>
      <c r="M15" s="97"/>
      <c r="N15" s="115">
        <f t="shared" si="0"/>
        <v>0</v>
      </c>
      <c r="O15" s="97">
        <f t="shared" si="1"/>
        <v>0</v>
      </c>
      <c r="P15" s="97"/>
      <c r="Q15" s="122"/>
      <c r="S15" s="123" t="e">
        <f t="shared" si="2"/>
        <v>#DIV/0!</v>
      </c>
    </row>
    <row r="16" spans="1:21" s="81" customFormat="1" ht="14.4">
      <c r="A16" s="97"/>
      <c r="B16" s="98"/>
      <c r="C16" s="98"/>
      <c r="D16" s="97"/>
      <c r="E16" s="99"/>
      <c r="F16" s="100"/>
      <c r="G16" s="101"/>
      <c r="H16" s="102"/>
      <c r="I16" s="97"/>
      <c r="J16" s="113"/>
      <c r="K16" s="114"/>
      <c r="L16" s="97"/>
      <c r="M16" s="97"/>
      <c r="N16" s="115">
        <f t="shared" si="0"/>
        <v>0</v>
      </c>
      <c r="O16" s="97">
        <f t="shared" si="1"/>
        <v>0</v>
      </c>
      <c r="P16" s="97"/>
      <c r="Q16" s="122"/>
      <c r="S16" s="123" t="e">
        <f t="shared" si="2"/>
        <v>#DIV/0!</v>
      </c>
    </row>
    <row r="17" spans="1:19" s="81" customFormat="1" ht="14.4">
      <c r="A17" s="97"/>
      <c r="B17" s="98"/>
      <c r="C17" s="98"/>
      <c r="D17" s="97"/>
      <c r="E17" s="99"/>
      <c r="F17" s="100"/>
      <c r="G17" s="101"/>
      <c r="H17" s="102"/>
      <c r="I17" s="97"/>
      <c r="J17" s="113"/>
      <c r="K17" s="114"/>
      <c r="L17" s="97"/>
      <c r="M17" s="97"/>
      <c r="N17" s="115">
        <f t="shared" si="0"/>
        <v>0</v>
      </c>
      <c r="O17" s="97">
        <f t="shared" si="1"/>
        <v>0</v>
      </c>
      <c r="P17" s="97"/>
      <c r="Q17" s="122"/>
      <c r="S17" s="123" t="e">
        <f t="shared" si="2"/>
        <v>#DIV/0!</v>
      </c>
    </row>
    <row r="18" spans="1:19" ht="14.4">
      <c r="A18" s="97"/>
      <c r="B18" s="98"/>
      <c r="C18" s="98"/>
      <c r="D18" s="97"/>
      <c r="E18" s="99"/>
      <c r="F18" s="100"/>
      <c r="G18" s="101"/>
      <c r="H18" s="102"/>
      <c r="I18" s="97"/>
      <c r="J18" s="113"/>
      <c r="K18" s="114"/>
      <c r="L18" s="116"/>
      <c r="M18" s="117"/>
      <c r="N18" s="115">
        <f t="shared" si="0"/>
        <v>0</v>
      </c>
      <c r="O18" s="97">
        <f t="shared" si="1"/>
        <v>0</v>
      </c>
      <c r="P18" s="97"/>
      <c r="Q18" s="122"/>
      <c r="S18" s="123" t="e">
        <f t="shared" si="2"/>
        <v>#DIV/0!</v>
      </c>
    </row>
    <row r="19" spans="1:19" ht="14.4">
      <c r="A19" s="97"/>
      <c r="B19" s="98"/>
      <c r="C19" s="98"/>
      <c r="D19" s="97"/>
      <c r="E19" s="99"/>
      <c r="F19" s="100"/>
      <c r="G19" s="101"/>
      <c r="H19" s="102"/>
      <c r="I19" s="97"/>
      <c r="J19" s="113"/>
      <c r="K19" s="114"/>
      <c r="L19" s="116"/>
      <c r="M19" s="117"/>
      <c r="N19" s="115">
        <f t="shared" si="0"/>
        <v>0</v>
      </c>
      <c r="O19" s="97">
        <f t="shared" si="1"/>
        <v>0</v>
      </c>
      <c r="P19" s="97"/>
      <c r="Q19" s="122"/>
      <c r="S19" s="123" t="e">
        <f t="shared" si="2"/>
        <v>#DIV/0!</v>
      </c>
    </row>
    <row r="20" spans="1:19" ht="14.4">
      <c r="A20" s="97"/>
      <c r="B20" s="98"/>
      <c r="C20" s="98"/>
      <c r="D20" s="97"/>
      <c r="E20" s="99"/>
      <c r="F20" s="100"/>
      <c r="G20" s="101"/>
      <c r="H20" s="102"/>
      <c r="I20" s="97"/>
      <c r="J20" s="113"/>
      <c r="K20" s="114"/>
      <c r="L20" s="116"/>
      <c r="M20" s="117"/>
      <c r="N20" s="115">
        <f t="shared" si="0"/>
        <v>0</v>
      </c>
      <c r="O20" s="97">
        <f t="shared" si="1"/>
        <v>0</v>
      </c>
      <c r="P20" s="97"/>
      <c r="Q20" s="122"/>
      <c r="S20" s="123" t="e">
        <f t="shared" si="2"/>
        <v>#DIV/0!</v>
      </c>
    </row>
    <row r="21" spans="1:19" ht="14.4">
      <c r="A21" s="97"/>
      <c r="B21" s="98"/>
      <c r="C21" s="98"/>
      <c r="D21" s="97"/>
      <c r="E21" s="99"/>
      <c r="F21" s="100"/>
      <c r="G21" s="101"/>
      <c r="H21" s="102"/>
      <c r="I21" s="97"/>
      <c r="J21" s="113"/>
      <c r="K21" s="114"/>
      <c r="L21" s="116"/>
      <c r="M21" s="117"/>
      <c r="N21" s="115">
        <f t="shared" si="0"/>
        <v>0</v>
      </c>
      <c r="O21" s="97">
        <f t="shared" si="1"/>
        <v>0</v>
      </c>
      <c r="P21" s="97"/>
      <c r="Q21" s="122"/>
      <c r="S21" s="123" t="e">
        <f t="shared" si="2"/>
        <v>#DIV/0!</v>
      </c>
    </row>
    <row r="22" spans="1:19" ht="14.4">
      <c r="A22" s="97"/>
      <c r="B22" s="98"/>
      <c r="C22" s="98"/>
      <c r="D22" s="97"/>
      <c r="E22" s="99"/>
      <c r="F22" s="100"/>
      <c r="G22" s="101"/>
      <c r="H22" s="102"/>
      <c r="I22" s="97"/>
      <c r="J22" s="113"/>
      <c r="K22" s="114"/>
      <c r="L22" s="116"/>
      <c r="M22" s="117"/>
      <c r="N22" s="115">
        <f t="shared" si="0"/>
        <v>0</v>
      </c>
      <c r="O22" s="97">
        <f t="shared" si="1"/>
        <v>0</v>
      </c>
      <c r="P22" s="97"/>
      <c r="Q22" s="122"/>
      <c r="S22" s="123" t="e">
        <f t="shared" si="2"/>
        <v>#DIV/0!</v>
      </c>
    </row>
    <row r="23" spans="1:19" ht="14.4">
      <c r="A23" s="97"/>
      <c r="B23" s="98"/>
      <c r="C23" s="98"/>
      <c r="D23" s="97"/>
      <c r="E23" s="99"/>
      <c r="F23" s="100"/>
      <c r="G23" s="101"/>
      <c r="H23" s="102"/>
      <c r="I23" s="97"/>
      <c r="J23" s="113"/>
      <c r="K23" s="114"/>
      <c r="L23" s="116"/>
      <c r="M23" s="117"/>
      <c r="N23" s="115">
        <f t="shared" si="0"/>
        <v>0</v>
      </c>
      <c r="O23" s="97">
        <f t="shared" si="1"/>
        <v>0</v>
      </c>
      <c r="P23" s="97"/>
      <c r="Q23" s="122"/>
      <c r="S23" s="123" t="e">
        <f t="shared" si="2"/>
        <v>#DIV/0!</v>
      </c>
    </row>
    <row r="24" spans="1:19" ht="14.4">
      <c r="A24" s="97"/>
      <c r="B24" s="98"/>
      <c r="C24" s="98"/>
      <c r="D24" s="97"/>
      <c r="E24" s="99"/>
      <c r="F24" s="100"/>
      <c r="G24" s="101"/>
      <c r="H24" s="102"/>
      <c r="I24" s="97"/>
      <c r="J24" s="113"/>
      <c r="K24" s="114"/>
      <c r="L24" s="116"/>
      <c r="M24" s="117"/>
      <c r="N24" s="115">
        <f t="shared" si="0"/>
        <v>0</v>
      </c>
      <c r="O24" s="97">
        <f t="shared" si="1"/>
        <v>0</v>
      </c>
      <c r="P24" s="97"/>
      <c r="Q24" s="122"/>
      <c r="S24" s="123" t="e">
        <f t="shared" si="2"/>
        <v>#DIV/0!</v>
      </c>
    </row>
    <row r="25" spans="1:19" ht="14.4">
      <c r="A25" s="97"/>
      <c r="B25" s="98"/>
      <c r="C25" s="98"/>
      <c r="D25" s="97"/>
      <c r="E25" s="99"/>
      <c r="F25" s="100"/>
      <c r="G25" s="101"/>
      <c r="H25" s="102"/>
      <c r="I25" s="97"/>
      <c r="J25" s="113"/>
      <c r="K25" s="114"/>
      <c r="L25" s="116"/>
      <c r="M25" s="117"/>
      <c r="N25" s="115">
        <f t="shared" si="0"/>
        <v>0</v>
      </c>
      <c r="O25" s="97">
        <f t="shared" si="1"/>
        <v>0</v>
      </c>
      <c r="P25" s="97"/>
      <c r="Q25" s="122"/>
      <c r="S25" s="123" t="e">
        <f t="shared" si="2"/>
        <v>#DIV/0!</v>
      </c>
    </row>
    <row r="26" spans="1:19" ht="14.4">
      <c r="A26" s="97"/>
      <c r="B26" s="98"/>
      <c r="C26" s="98"/>
      <c r="D26" s="97"/>
      <c r="E26" s="99"/>
      <c r="F26" s="100"/>
      <c r="G26" s="101"/>
      <c r="H26" s="102"/>
      <c r="I26" s="97"/>
      <c r="J26" s="113"/>
      <c r="K26" s="114"/>
      <c r="L26" s="116"/>
      <c r="M26" s="117"/>
      <c r="N26" s="115">
        <f t="shared" si="0"/>
        <v>0</v>
      </c>
      <c r="O26" s="97">
        <f t="shared" si="1"/>
        <v>0</v>
      </c>
      <c r="P26" s="97"/>
      <c r="Q26" s="122"/>
      <c r="S26" s="123" t="e">
        <f t="shared" si="2"/>
        <v>#DIV/0!</v>
      </c>
    </row>
    <row r="27" spans="1:19" ht="14.4">
      <c r="A27" s="97"/>
      <c r="B27" s="98"/>
      <c r="C27" s="98"/>
      <c r="D27" s="97"/>
      <c r="E27" s="99"/>
      <c r="F27" s="100"/>
      <c r="G27" s="101"/>
      <c r="H27" s="102"/>
      <c r="I27" s="97"/>
      <c r="J27" s="113"/>
      <c r="K27" s="114"/>
      <c r="L27" s="116"/>
      <c r="M27" s="117"/>
      <c r="N27" s="115">
        <f t="shared" si="0"/>
        <v>0</v>
      </c>
      <c r="O27" s="97">
        <f t="shared" si="1"/>
        <v>0</v>
      </c>
      <c r="P27" s="97"/>
      <c r="Q27" s="122"/>
      <c r="S27" s="123" t="e">
        <f t="shared" si="2"/>
        <v>#DIV/0!</v>
      </c>
    </row>
    <row r="28" spans="1:19" ht="14.4">
      <c r="A28" s="97"/>
      <c r="B28" s="98"/>
      <c r="C28" s="98"/>
      <c r="D28" s="97"/>
      <c r="E28" s="99"/>
      <c r="F28" s="100"/>
      <c r="G28" s="101"/>
      <c r="H28" s="102"/>
      <c r="I28" s="97"/>
      <c r="J28" s="113"/>
      <c r="K28" s="114"/>
      <c r="L28" s="116"/>
      <c r="M28" s="117"/>
      <c r="N28" s="115">
        <f t="shared" si="0"/>
        <v>0</v>
      </c>
      <c r="O28" s="97">
        <f t="shared" si="1"/>
        <v>0</v>
      </c>
      <c r="P28" s="97"/>
      <c r="Q28" s="122"/>
      <c r="S28" s="123" t="e">
        <f t="shared" si="2"/>
        <v>#DIV/0!</v>
      </c>
    </row>
    <row r="29" spans="1:19" ht="14.4">
      <c r="A29" s="97"/>
      <c r="B29" s="98"/>
      <c r="C29" s="98"/>
      <c r="D29" s="97"/>
      <c r="E29" s="99"/>
      <c r="F29" s="100"/>
      <c r="G29" s="101"/>
      <c r="H29" s="102"/>
      <c r="I29" s="97"/>
      <c r="J29" s="113"/>
      <c r="K29" s="114"/>
      <c r="L29" s="116"/>
      <c r="M29" s="117"/>
      <c r="N29" s="115">
        <f t="shared" si="0"/>
        <v>0</v>
      </c>
      <c r="O29" s="97">
        <f t="shared" si="1"/>
        <v>0</v>
      </c>
      <c r="P29" s="97"/>
      <c r="Q29" s="122"/>
      <c r="S29" s="123" t="e">
        <f t="shared" si="2"/>
        <v>#DIV/0!</v>
      </c>
    </row>
    <row r="30" spans="1:19" ht="14.4">
      <c r="A30" s="97"/>
      <c r="B30" s="98"/>
      <c r="C30" s="98"/>
      <c r="D30" s="97"/>
      <c r="E30" s="99"/>
      <c r="F30" s="100"/>
      <c r="G30" s="101"/>
      <c r="H30" s="102"/>
      <c r="I30" s="97"/>
      <c r="J30" s="113"/>
      <c r="K30" s="114"/>
      <c r="L30" s="116"/>
      <c r="M30" s="117"/>
      <c r="N30" s="115">
        <f t="shared" si="0"/>
        <v>0</v>
      </c>
      <c r="O30" s="97">
        <f t="shared" si="1"/>
        <v>0</v>
      </c>
      <c r="P30" s="97"/>
      <c r="Q30" s="122"/>
      <c r="S30" s="123" t="e">
        <f t="shared" si="2"/>
        <v>#DIV/0!</v>
      </c>
    </row>
    <row r="31" spans="1:19" ht="14.4">
      <c r="A31" s="97"/>
      <c r="B31" s="98"/>
      <c r="C31" s="98"/>
      <c r="D31" s="97"/>
      <c r="E31" s="99"/>
      <c r="F31" s="100"/>
      <c r="G31" s="101"/>
      <c r="H31" s="102"/>
      <c r="I31" s="97"/>
      <c r="J31" s="113"/>
      <c r="K31" s="114"/>
      <c r="L31" s="116"/>
      <c r="M31" s="117"/>
      <c r="N31" s="115">
        <f t="shared" si="0"/>
        <v>0</v>
      </c>
      <c r="O31" s="97">
        <f t="shared" si="1"/>
        <v>0</v>
      </c>
      <c r="P31" s="97"/>
      <c r="Q31" s="122"/>
      <c r="S31" s="123" t="e">
        <f t="shared" si="2"/>
        <v>#DIV/0!</v>
      </c>
    </row>
    <row r="32" spans="1:19" ht="14.4">
      <c r="C32" s="103"/>
      <c r="P32" s="118"/>
    </row>
    <row r="33" spans="2:22" ht="14.4">
      <c r="C33" s="103"/>
      <c r="P33" s="118"/>
    </row>
    <row r="34" spans="2:22">
      <c r="P34" s="118"/>
    </row>
    <row r="35" spans="2:22" ht="28.2">
      <c r="N35" s="119">
        <f>SUM(N2:N34)</f>
        <v>0</v>
      </c>
      <c r="P35" s="119">
        <f>SUM($N$2:$N$31)</f>
        <v>0</v>
      </c>
      <c r="Q35" s="124"/>
    </row>
    <row r="36" spans="2:22" ht="14.4">
      <c r="B36"/>
      <c r="C36" s="104"/>
      <c r="O36" s="120"/>
    </row>
    <row r="37" spans="2:22">
      <c r="O37" s="120"/>
    </row>
    <row r="38" spans="2:22" ht="14.4">
      <c r="B38"/>
      <c r="C38"/>
      <c r="D38"/>
      <c r="E38"/>
      <c r="F38"/>
      <c r="G38"/>
      <c r="H38"/>
      <c r="I38"/>
      <c r="J38"/>
      <c r="O38"/>
      <c r="P38"/>
      <c r="Q38" s="84"/>
      <c r="R38" s="85"/>
      <c r="T38"/>
      <c r="U38"/>
      <c r="V38" s="84"/>
    </row>
    <row r="39" spans="2:22" ht="14.4">
      <c r="B39"/>
      <c r="C39"/>
      <c r="D39"/>
      <c r="E39"/>
      <c r="F39"/>
      <c r="G39"/>
      <c r="H39"/>
      <c r="I39"/>
      <c r="J39"/>
      <c r="O39" s="83"/>
      <c r="P39" s="84"/>
      <c r="Q39" s="84"/>
      <c r="R39" s="85"/>
      <c r="U39" s="84"/>
      <c r="V39" s="84"/>
    </row>
    <row r="40" spans="2:22" ht="14.4">
      <c r="B40"/>
      <c r="C40"/>
      <c r="D40"/>
      <c r="E40"/>
      <c r="F40"/>
      <c r="G40"/>
      <c r="H40"/>
      <c r="I40"/>
      <c r="J40"/>
      <c r="O40"/>
      <c r="P40"/>
      <c r="Q40"/>
      <c r="R40"/>
      <c r="T40"/>
      <c r="U40"/>
      <c r="V40"/>
    </row>
    <row r="41" spans="2:22" ht="14.4">
      <c r="B41"/>
      <c r="C41"/>
      <c r="D41"/>
      <c r="E41"/>
      <c r="F41"/>
      <c r="G41"/>
      <c r="H41"/>
      <c r="I41"/>
      <c r="J41"/>
      <c r="O41"/>
      <c r="P41"/>
      <c r="Q41"/>
      <c r="R41"/>
      <c r="T41"/>
      <c r="U41"/>
      <c r="V41"/>
    </row>
    <row r="42" spans="2:22" ht="14.4">
      <c r="B42"/>
      <c r="C42"/>
      <c r="D42"/>
      <c r="E42"/>
      <c r="F42"/>
      <c r="G42"/>
      <c r="H42"/>
      <c r="I42"/>
      <c r="J42"/>
      <c r="O42"/>
      <c r="P42"/>
      <c r="Q42"/>
      <c r="R42"/>
      <c r="T42"/>
      <c r="U42"/>
      <c r="V42"/>
    </row>
    <row r="43" spans="2:22" ht="14.4">
      <c r="B43"/>
      <c r="C43"/>
      <c r="D43"/>
      <c r="E43"/>
      <c r="F43"/>
      <c r="G43"/>
      <c r="H43"/>
      <c r="I43"/>
      <c r="J43"/>
      <c r="O43"/>
      <c r="P43"/>
      <c r="Q43"/>
      <c r="R43"/>
      <c r="T43"/>
      <c r="U43"/>
      <c r="V43"/>
    </row>
    <row r="44" spans="2:22" ht="14.4">
      <c r="B44"/>
      <c r="C44"/>
      <c r="D44"/>
      <c r="E44"/>
      <c r="F44"/>
      <c r="G44"/>
      <c r="H44"/>
      <c r="I44"/>
      <c r="J44"/>
      <c r="O44" s="105"/>
      <c r="P44" s="105"/>
      <c r="Q44" s="105"/>
      <c r="R44" s="105"/>
      <c r="T44" s="105"/>
      <c r="U44" s="105"/>
      <c r="V44" s="105"/>
    </row>
    <row r="45" spans="2:22" ht="14.4">
      <c r="B45"/>
      <c r="C45"/>
      <c r="D45"/>
      <c r="E45"/>
      <c r="F45"/>
      <c r="G45"/>
      <c r="H45"/>
      <c r="I45"/>
      <c r="J45"/>
      <c r="O45" s="105"/>
      <c r="P45" s="105"/>
      <c r="Q45" s="105"/>
      <c r="R45" s="105"/>
      <c r="T45" s="105"/>
      <c r="U45" s="105"/>
      <c r="V45" s="105"/>
    </row>
    <row r="46" spans="2:22" ht="14.4">
      <c r="B46"/>
      <c r="C46"/>
      <c r="D46"/>
      <c r="E46"/>
      <c r="F46"/>
      <c r="G46"/>
      <c r="H46"/>
      <c r="I46"/>
      <c r="J46"/>
      <c r="O46" s="105"/>
      <c r="P46" s="105"/>
      <c r="Q46" s="105"/>
      <c r="R46" s="105"/>
      <c r="T46" s="105"/>
      <c r="U46" s="105"/>
      <c r="V46" s="105"/>
    </row>
    <row r="47" spans="2:22" ht="14.4">
      <c r="B47"/>
      <c r="C47"/>
      <c r="D47"/>
      <c r="E47"/>
      <c r="F47"/>
      <c r="G47"/>
      <c r="H47"/>
      <c r="I47"/>
      <c r="J47"/>
      <c r="O47" s="105"/>
      <c r="P47" s="105"/>
      <c r="Q47" s="105"/>
      <c r="R47" s="105"/>
      <c r="T47" s="105"/>
      <c r="U47" s="105"/>
      <c r="V47" s="105"/>
    </row>
    <row r="48" spans="2:22" ht="14.4">
      <c r="B48"/>
      <c r="C48"/>
      <c r="D48"/>
      <c r="E48"/>
      <c r="F48"/>
      <c r="G48"/>
      <c r="H48"/>
      <c r="I48"/>
      <c r="J48"/>
      <c r="O48" s="105"/>
      <c r="P48" s="105"/>
      <c r="Q48" s="105"/>
      <c r="R48" s="105"/>
    </row>
    <row r="49" spans="2:18" ht="14.4">
      <c r="B49"/>
      <c r="C49"/>
      <c r="D49"/>
      <c r="E49"/>
      <c r="F49"/>
      <c r="G49"/>
      <c r="H49"/>
      <c r="I49"/>
      <c r="J49"/>
      <c r="O49" s="105"/>
      <c r="P49" s="105"/>
      <c r="Q49" s="105"/>
      <c r="R49" s="105"/>
    </row>
    <row r="50" spans="2:18" ht="14.4">
      <c r="B50"/>
      <c r="C50"/>
      <c r="D50"/>
      <c r="E50"/>
      <c r="F50"/>
      <c r="G50"/>
      <c r="H50"/>
      <c r="I50"/>
      <c r="J50"/>
      <c r="O50" s="105"/>
      <c r="P50" s="105"/>
      <c r="Q50" s="105"/>
      <c r="R50" s="105"/>
    </row>
    <row r="51" spans="2:18" ht="14.4">
      <c r="B51"/>
      <c r="C51"/>
      <c r="D51"/>
      <c r="E51"/>
      <c r="F51"/>
      <c r="G51"/>
      <c r="H51"/>
      <c r="I51"/>
      <c r="J51"/>
      <c r="O51" s="105"/>
      <c r="P51" s="105"/>
      <c r="Q51" s="105"/>
      <c r="R51" s="105"/>
    </row>
    <row r="52" spans="2:18" ht="14.4">
      <c r="B52"/>
      <c r="C52"/>
      <c r="D52"/>
      <c r="E52"/>
      <c r="F52"/>
      <c r="G52"/>
      <c r="H52"/>
      <c r="I52"/>
      <c r="J52"/>
      <c r="O52" s="105"/>
      <c r="P52" s="105"/>
      <c r="Q52" s="105"/>
      <c r="R52" s="105"/>
    </row>
    <row r="53" spans="2:18" ht="14.4">
      <c r="B53"/>
      <c r="C53"/>
      <c r="D53"/>
      <c r="E53"/>
      <c r="F53"/>
      <c r="G53"/>
      <c r="H53"/>
      <c r="I53"/>
      <c r="J53"/>
      <c r="O53" s="105"/>
      <c r="P53" s="105"/>
      <c r="Q53" s="105"/>
      <c r="R53" s="105"/>
    </row>
    <row r="54" spans="2:18" ht="14.4">
      <c r="B54"/>
      <c r="C54"/>
      <c r="D54"/>
      <c r="E54"/>
      <c r="F54"/>
      <c r="G54"/>
      <c r="H54"/>
      <c r="I54"/>
      <c r="J54"/>
      <c r="O54" s="105"/>
      <c r="P54" s="105"/>
      <c r="Q54" s="105"/>
      <c r="R54" s="105"/>
    </row>
    <row r="55" spans="2:18" ht="14.4">
      <c r="B55"/>
      <c r="C55"/>
      <c r="D55"/>
      <c r="E55"/>
      <c r="F55"/>
      <c r="G55"/>
      <c r="H55"/>
      <c r="I55"/>
      <c r="J55"/>
      <c r="O55" s="105"/>
      <c r="P55" s="105"/>
      <c r="Q55" s="105"/>
      <c r="R55" s="105"/>
    </row>
    <row r="56" spans="2:18" ht="14.4">
      <c r="B56"/>
      <c r="C56"/>
      <c r="D56"/>
      <c r="E56"/>
      <c r="F56"/>
      <c r="G56"/>
      <c r="H56"/>
      <c r="I56"/>
      <c r="J56"/>
      <c r="O56" s="105"/>
      <c r="P56" s="105"/>
      <c r="Q56" s="105"/>
      <c r="R56" s="105"/>
    </row>
    <row r="57" spans="2:18" ht="13.8">
      <c r="B57" s="105"/>
      <c r="C57" s="105"/>
      <c r="D57" s="105"/>
      <c r="E57" s="105"/>
      <c r="F57" s="105"/>
      <c r="G57" s="105"/>
      <c r="H57" s="105"/>
      <c r="I57" s="105"/>
      <c r="J57" s="105"/>
      <c r="O57" s="105"/>
      <c r="P57" s="105"/>
      <c r="Q57" s="105"/>
      <c r="R57" s="105"/>
    </row>
    <row r="58" spans="2:18" ht="13.8">
      <c r="B58" s="105"/>
      <c r="C58" s="105"/>
      <c r="D58" s="105"/>
      <c r="E58" s="105"/>
      <c r="F58" s="105"/>
      <c r="G58" s="105"/>
      <c r="H58" s="105"/>
      <c r="I58" s="105"/>
      <c r="J58" s="105"/>
      <c r="O58" s="105"/>
      <c r="P58" s="105"/>
      <c r="Q58" s="105"/>
      <c r="R58" s="105"/>
    </row>
    <row r="59" spans="2:18" ht="13.8">
      <c r="B59" s="105"/>
      <c r="C59" s="105"/>
      <c r="D59" s="105"/>
      <c r="E59" s="105"/>
      <c r="F59" s="105"/>
      <c r="G59" s="105"/>
      <c r="H59" s="105"/>
      <c r="I59" s="105"/>
      <c r="J59" s="105"/>
      <c r="O59" s="105"/>
      <c r="P59" s="105"/>
      <c r="Q59" s="105"/>
      <c r="R59" s="105"/>
    </row>
    <row r="60" spans="2:18" ht="13.8">
      <c r="B60" s="105"/>
      <c r="C60" s="105"/>
      <c r="D60" s="105"/>
      <c r="E60" s="105"/>
      <c r="F60" s="105"/>
      <c r="G60" s="105"/>
      <c r="H60" s="105"/>
      <c r="I60" s="105"/>
      <c r="J60" s="105"/>
      <c r="O60" s="105"/>
      <c r="P60" s="105"/>
      <c r="Q60" s="105"/>
      <c r="R60" s="105"/>
    </row>
    <row r="61" spans="2:18" ht="13.8">
      <c r="B61" s="105"/>
      <c r="C61" s="105"/>
      <c r="D61" s="105"/>
      <c r="E61" s="105"/>
      <c r="F61" s="105"/>
      <c r="G61" s="105"/>
      <c r="H61" s="105"/>
      <c r="I61" s="105"/>
      <c r="J61" s="105"/>
      <c r="O61" s="105"/>
      <c r="P61" s="105"/>
      <c r="Q61" s="105"/>
      <c r="R61" s="105"/>
    </row>
    <row r="62" spans="2:18" ht="13.8">
      <c r="B62" s="105"/>
      <c r="C62" s="105"/>
      <c r="D62" s="105"/>
      <c r="E62" s="105"/>
      <c r="F62" s="105"/>
      <c r="G62" s="105"/>
      <c r="H62" s="105"/>
      <c r="I62" s="105"/>
      <c r="J62" s="105"/>
    </row>
    <row r="63" spans="2:18" ht="13.8">
      <c r="B63" s="105"/>
      <c r="C63" s="105"/>
      <c r="D63" s="105"/>
      <c r="E63" s="105"/>
      <c r="F63" s="105"/>
      <c r="G63" s="105"/>
      <c r="H63" s="105"/>
      <c r="I63" s="105"/>
      <c r="J63" s="105"/>
    </row>
    <row r="64" spans="2:18" ht="13.8">
      <c r="B64" s="105"/>
      <c r="C64" s="105"/>
      <c r="D64" s="105"/>
      <c r="E64" s="105"/>
      <c r="F64" s="105"/>
      <c r="G64" s="105"/>
      <c r="H64" s="105"/>
      <c r="I64" s="105"/>
      <c r="J64" s="105"/>
    </row>
    <row r="65" spans="2:9" ht="13.8">
      <c r="B65" s="105"/>
      <c r="C65" s="105"/>
      <c r="D65" s="105"/>
      <c r="E65" s="105"/>
      <c r="F65" s="105"/>
      <c r="G65" s="105"/>
      <c r="H65" s="105"/>
      <c r="I65" s="105"/>
    </row>
    <row r="66" spans="2:9" ht="13.8">
      <c r="B66" s="105"/>
      <c r="C66" s="105"/>
      <c r="D66" s="105"/>
      <c r="E66" s="105"/>
      <c r="F66" s="105"/>
      <c r="G66" s="105"/>
      <c r="H66" s="105"/>
      <c r="I66" s="105"/>
    </row>
    <row r="67" spans="2:9" ht="13.8">
      <c r="B67" s="105"/>
      <c r="C67" s="105"/>
      <c r="D67" s="105"/>
      <c r="E67" s="105"/>
      <c r="F67" s="105"/>
      <c r="G67" s="105"/>
      <c r="H67" s="105"/>
    </row>
    <row r="74" spans="2:9">
      <c r="C74" s="83"/>
      <c r="D74" s="83"/>
      <c r="E74" s="83"/>
    </row>
    <row r="75" spans="2:9">
      <c r="C75" s="83"/>
      <c r="D75" s="83"/>
      <c r="E75" s="83"/>
    </row>
    <row r="76" spans="2:9">
      <c r="C76" s="83"/>
      <c r="D76" s="83"/>
      <c r="E76" s="83"/>
    </row>
    <row r="77" spans="2:9">
      <c r="C77" s="83"/>
      <c r="D77" s="83"/>
      <c r="E77" s="83"/>
    </row>
    <row r="78" spans="2:9">
      <c r="C78" s="83"/>
      <c r="D78" s="83"/>
      <c r="E78" s="83"/>
    </row>
    <row r="79" spans="2:9">
      <c r="C79" s="83"/>
      <c r="D79" s="83"/>
      <c r="E79" s="83"/>
    </row>
    <row r="80" spans="2:9">
      <c r="C80" s="83"/>
      <c r="D80" s="83"/>
      <c r="E80" s="83"/>
    </row>
    <row r="81" spans="2:5">
      <c r="C81" s="83"/>
      <c r="D81" s="83"/>
      <c r="E81" s="83"/>
    </row>
    <row r="82" spans="2:5">
      <c r="C82" s="83"/>
      <c r="D82" s="83"/>
      <c r="E82" s="83"/>
    </row>
    <row r="83" spans="2:5" ht="13.8">
      <c r="B83" s="105"/>
      <c r="C83" s="105"/>
      <c r="D83" s="105"/>
      <c r="E83" s="105"/>
    </row>
    <row r="84" spans="2:5" ht="13.8">
      <c r="B84" s="105"/>
      <c r="C84" s="105"/>
      <c r="D84" s="105"/>
      <c r="E84" s="105"/>
    </row>
    <row r="85" spans="2:5" ht="13.8">
      <c r="B85" s="105"/>
      <c r="C85" s="105"/>
      <c r="D85" s="105"/>
      <c r="E85" s="105"/>
    </row>
    <row r="86" spans="2:5" ht="13.8">
      <c r="B86" s="105"/>
      <c r="C86" s="105"/>
      <c r="D86" s="105"/>
      <c r="E86" s="105"/>
    </row>
    <row r="87" spans="2:5" ht="13.8">
      <c r="B87" s="105"/>
      <c r="C87" s="105"/>
      <c r="D87" s="105"/>
      <c r="E87" s="105"/>
    </row>
    <row r="88" spans="2:5" ht="13.8">
      <c r="B88" s="105"/>
      <c r="C88" s="105"/>
      <c r="D88" s="105"/>
      <c r="E88" s="105"/>
    </row>
    <row r="89" spans="2:5" ht="13.8">
      <c r="B89" s="105"/>
      <c r="C89" s="105"/>
      <c r="D89" s="105"/>
      <c r="E89" s="105"/>
    </row>
    <row r="90" spans="2:5" ht="13.8">
      <c r="B90" s="105"/>
      <c r="C90" s="105"/>
      <c r="D90" s="105"/>
      <c r="E90" s="105"/>
    </row>
    <row r="91" spans="2:5" ht="13.8">
      <c r="B91" s="105"/>
      <c r="C91" s="105"/>
      <c r="D91" s="105"/>
      <c r="E91" s="105"/>
    </row>
    <row r="92" spans="2:5" ht="13.8">
      <c r="B92" s="105"/>
      <c r="C92" s="105"/>
      <c r="D92" s="105"/>
      <c r="E92" s="105"/>
    </row>
    <row r="93" spans="2:5" ht="13.8">
      <c r="B93" s="105"/>
      <c r="C93" s="105"/>
      <c r="D93" s="105"/>
      <c r="E93" s="105"/>
    </row>
    <row r="94" spans="2:5" ht="13.8">
      <c r="B94" s="105"/>
      <c r="C94" s="105"/>
      <c r="D94" s="105"/>
      <c r="E94" s="105"/>
    </row>
    <row r="95" spans="2:5">
      <c r="C95" s="83"/>
      <c r="D95" s="83"/>
    </row>
    <row r="96" spans="2:5">
      <c r="C96" s="83"/>
      <c r="D96" s="83"/>
    </row>
    <row r="97" spans="2:6" ht="13.8">
      <c r="C97" s="83"/>
      <c r="D97" s="83"/>
      <c r="E97" s="105"/>
      <c r="F97" s="105"/>
    </row>
    <row r="98" spans="2:6" ht="13.8">
      <c r="C98" s="83"/>
      <c r="D98" s="83"/>
      <c r="E98" s="105"/>
      <c r="F98" s="105"/>
    </row>
    <row r="99" spans="2:6" ht="13.8">
      <c r="C99" s="83"/>
      <c r="D99" s="83"/>
      <c r="E99" s="105"/>
      <c r="F99" s="105"/>
    </row>
    <row r="100" spans="2:6" ht="13.8">
      <c r="C100" s="83"/>
      <c r="D100" s="83"/>
      <c r="E100" s="105"/>
      <c r="F100" s="105"/>
    </row>
    <row r="101" spans="2:6" ht="13.8">
      <c r="C101" s="83"/>
      <c r="D101" s="83"/>
      <c r="E101" s="105"/>
      <c r="F101" s="105"/>
    </row>
    <row r="102" spans="2:6" ht="13.8">
      <c r="C102" s="83"/>
      <c r="D102" s="83"/>
      <c r="E102" s="105"/>
      <c r="F102" s="105"/>
    </row>
    <row r="103" spans="2:6" ht="13.8">
      <c r="C103" s="83"/>
      <c r="D103" s="83"/>
      <c r="E103" s="105"/>
      <c r="F103" s="105"/>
    </row>
    <row r="104" spans="2:6" ht="13.8">
      <c r="C104" s="83"/>
      <c r="D104" s="83"/>
      <c r="E104" s="105"/>
      <c r="F104" s="105"/>
    </row>
    <row r="105" spans="2:6" ht="13.8">
      <c r="B105" s="105"/>
      <c r="C105" s="105"/>
      <c r="D105" s="105"/>
      <c r="E105" s="105"/>
      <c r="F105" s="105"/>
    </row>
    <row r="106" spans="2:6" ht="13.8">
      <c r="B106" s="105"/>
      <c r="C106" s="105"/>
      <c r="D106" s="105"/>
      <c r="E106" s="105"/>
      <c r="F106" s="105"/>
    </row>
    <row r="107" spans="2:6" ht="13.8">
      <c r="B107" s="105"/>
      <c r="C107" s="105"/>
      <c r="D107" s="105"/>
      <c r="E107" s="105"/>
      <c r="F107" s="105"/>
    </row>
    <row r="108" spans="2:6" ht="13.8">
      <c r="B108" s="105"/>
      <c r="C108" s="105"/>
      <c r="D108" s="105"/>
      <c r="E108" s="105"/>
      <c r="F108" s="105"/>
    </row>
    <row r="109" spans="2:6" ht="13.8">
      <c r="B109" s="105"/>
      <c r="C109" s="105"/>
      <c r="D109" s="105"/>
      <c r="E109" s="105"/>
      <c r="F109" s="105"/>
    </row>
    <row r="110" spans="2:6" ht="13.8">
      <c r="B110" s="105"/>
      <c r="C110" s="105"/>
      <c r="D110" s="105"/>
      <c r="E110" s="105"/>
      <c r="F110" s="105"/>
    </row>
    <row r="111" spans="2:6" ht="13.8">
      <c r="B111" s="105"/>
      <c r="C111" s="105"/>
      <c r="D111" s="105"/>
      <c r="E111" s="105"/>
      <c r="F111" s="105"/>
    </row>
  </sheetData>
  <dataValidations count="1">
    <dataValidation type="list" allowBlank="1" showInputMessage="1" showErrorMessage="1" sqref="A2:A31 A65538:A65553 A131074:A131089 A196610:A196625 A262146:A262161 A327682:A327697 A393218:A393233 A458754:A458769 A524290:A524305 A589826:A589841 A655362:A655377 A720898:A720913 A786434:A786449 A851970:A851985 A917506:A917521 A983042:A983057 IW2:IW17 IW65538:IW65553 IW131074:IW131089 IW196610:IW196625 IW262146:IW262161 IW327682:IW327697 IW393218:IW393233 IW458754:IW458769 IW524290:IW524305 IW589826:IW589841 IW655362:IW655377 IW720898:IW720913 IW786434:IW786449 IW851970:IW851985 IW917506:IW917521 IW983042:IW983057 SS2:SS17 SS65538:SS65553 SS131074:SS131089 SS196610:SS196625 SS262146:SS262161 SS327682:SS327697 SS393218:SS393233 SS458754:SS458769 SS524290:SS524305 SS589826:SS589841 SS655362:SS655377 SS720898:SS720913 SS786434:SS786449 SS851970:SS851985 SS917506:SS917521 SS983042:SS983057 ACO2:ACO17 ACO65538:ACO65553 ACO131074:ACO131089 ACO196610:ACO196625 ACO262146:ACO262161 ACO327682:ACO327697 ACO393218:ACO393233 ACO458754:ACO458769 ACO524290:ACO524305 ACO589826:ACO589841 ACO655362:ACO655377 ACO720898:ACO720913 ACO786434:ACO786449 ACO851970:ACO851985 ACO917506:ACO917521 ACO983042:ACO983057 AMK2:AMK17 AMK65538:AMK65553 AMK131074:AMK131089 AMK196610:AMK196625 AMK262146:AMK262161 AMK327682:AMK327697 AMK393218:AMK393233 AMK458754:AMK458769 AMK524290:AMK524305 AMK589826:AMK589841 AMK655362:AMK655377 AMK720898:AMK720913 AMK786434:AMK786449 AMK851970:AMK851985 AMK917506:AMK917521 AMK983042:AMK983057 AWG2:AWG17 AWG65538:AWG65553 AWG131074:AWG131089 AWG196610:AWG196625 AWG262146:AWG262161 AWG327682:AWG327697 AWG393218:AWG393233 AWG458754:AWG458769 AWG524290:AWG524305 AWG589826:AWG589841 AWG655362:AWG655377 AWG720898:AWG720913 AWG786434:AWG786449 AWG851970:AWG851985 AWG917506:AWG917521 AWG983042:AWG983057 BGC2:BGC17 BGC65538:BGC65553 BGC131074:BGC131089 BGC196610:BGC196625 BGC262146:BGC262161 BGC327682:BGC327697 BGC393218:BGC393233 BGC458754:BGC458769 BGC524290:BGC524305 BGC589826:BGC589841 BGC655362:BGC655377 BGC720898:BGC720913 BGC786434:BGC786449 BGC851970:BGC851985 BGC917506:BGC917521 BGC983042:BGC983057 BPY2:BPY17 BPY65538:BPY65553 BPY131074:BPY131089 BPY196610:BPY196625 BPY262146:BPY262161 BPY327682:BPY327697 BPY393218:BPY393233 BPY458754:BPY458769 BPY524290:BPY524305 BPY589826:BPY589841 BPY655362:BPY655377 BPY720898:BPY720913 BPY786434:BPY786449 BPY851970:BPY851985 BPY917506:BPY917521 BPY983042:BPY983057 BZU2:BZU17 BZU65538:BZU65553 BZU131074:BZU131089 BZU196610:BZU196625 BZU262146:BZU262161 BZU327682:BZU327697 BZU393218:BZU393233 BZU458754:BZU458769 BZU524290:BZU524305 BZU589826:BZU589841 BZU655362:BZU655377 BZU720898:BZU720913 BZU786434:BZU786449 BZU851970:BZU851985 BZU917506:BZU917521 BZU983042:BZU983057 CJQ2:CJQ17 CJQ65538:CJQ65553 CJQ131074:CJQ131089 CJQ196610:CJQ196625 CJQ262146:CJQ262161 CJQ327682:CJQ327697 CJQ393218:CJQ393233 CJQ458754:CJQ458769 CJQ524290:CJQ524305 CJQ589826:CJQ589841 CJQ655362:CJQ655377 CJQ720898:CJQ720913 CJQ786434:CJQ786449 CJQ851970:CJQ851985 CJQ917506:CJQ917521 CJQ983042:CJQ983057 CTM2:CTM17 CTM65538:CTM65553 CTM131074:CTM131089 CTM196610:CTM196625 CTM262146:CTM262161 CTM327682:CTM327697 CTM393218:CTM393233 CTM458754:CTM458769 CTM524290:CTM524305 CTM589826:CTM589841 CTM655362:CTM655377 CTM720898:CTM720913 CTM786434:CTM786449 CTM851970:CTM851985 CTM917506:CTM917521 CTM983042:CTM983057 DDI2:DDI17 DDI65538:DDI65553 DDI131074:DDI131089 DDI196610:DDI196625 DDI262146:DDI262161 DDI327682:DDI327697 DDI393218:DDI393233 DDI458754:DDI458769 DDI524290:DDI524305 DDI589826:DDI589841 DDI655362:DDI655377 DDI720898:DDI720913 DDI786434:DDI786449 DDI851970:DDI851985 DDI917506:DDI917521 DDI983042:DDI983057 DNE2:DNE17 DNE65538:DNE65553 DNE131074:DNE131089 DNE196610:DNE196625 DNE262146:DNE262161 DNE327682:DNE327697 DNE393218:DNE393233 DNE458754:DNE458769 DNE524290:DNE524305 DNE589826:DNE589841 DNE655362:DNE655377 DNE720898:DNE720913 DNE786434:DNE786449 DNE851970:DNE851985 DNE917506:DNE917521 DNE983042:DNE983057 DXA2:DXA17 DXA65538:DXA65553 DXA131074:DXA131089 DXA196610:DXA196625 DXA262146:DXA262161 DXA327682:DXA327697 DXA393218:DXA393233 DXA458754:DXA458769 DXA524290:DXA524305 DXA589826:DXA589841 DXA655362:DXA655377 DXA720898:DXA720913 DXA786434:DXA786449 DXA851970:DXA851985 DXA917506:DXA917521 DXA983042:DXA983057 EGW2:EGW17 EGW65538:EGW65553 EGW131074:EGW131089 EGW196610:EGW196625 EGW262146:EGW262161 EGW327682:EGW327697 EGW393218:EGW393233 EGW458754:EGW458769 EGW524290:EGW524305 EGW589826:EGW589841 EGW655362:EGW655377 EGW720898:EGW720913 EGW786434:EGW786449 EGW851970:EGW851985 EGW917506:EGW917521 EGW983042:EGW983057 EQS2:EQS17 EQS65538:EQS65553 EQS131074:EQS131089 EQS196610:EQS196625 EQS262146:EQS262161 EQS327682:EQS327697 EQS393218:EQS393233 EQS458754:EQS458769 EQS524290:EQS524305 EQS589826:EQS589841 EQS655362:EQS655377 EQS720898:EQS720913 EQS786434:EQS786449 EQS851970:EQS851985 EQS917506:EQS917521 EQS983042:EQS983057 FAO2:FAO17 FAO65538:FAO65553 FAO131074:FAO131089 FAO196610:FAO196625 FAO262146:FAO262161 FAO327682:FAO327697 FAO393218:FAO393233 FAO458754:FAO458769 FAO524290:FAO524305 FAO589826:FAO589841 FAO655362:FAO655377 FAO720898:FAO720913 FAO786434:FAO786449 FAO851970:FAO851985 FAO917506:FAO917521 FAO983042:FAO983057 FKK2:FKK17 FKK65538:FKK65553 FKK131074:FKK131089 FKK196610:FKK196625 FKK262146:FKK262161 FKK327682:FKK327697 FKK393218:FKK393233 FKK458754:FKK458769 FKK524290:FKK524305 FKK589826:FKK589841 FKK655362:FKK655377 FKK720898:FKK720913 FKK786434:FKK786449 FKK851970:FKK851985 FKK917506:FKK917521 FKK983042:FKK983057 FUG2:FUG17 FUG65538:FUG65553 FUG131074:FUG131089 FUG196610:FUG196625 FUG262146:FUG262161 FUG327682:FUG327697 FUG393218:FUG393233 FUG458754:FUG458769 FUG524290:FUG524305 FUG589826:FUG589841 FUG655362:FUG655377 FUG720898:FUG720913 FUG786434:FUG786449 FUG851970:FUG851985 FUG917506:FUG917521 FUG983042:FUG983057 GEC2:GEC17 GEC65538:GEC65553 GEC131074:GEC131089 GEC196610:GEC196625 GEC262146:GEC262161 GEC327682:GEC327697 GEC393218:GEC393233 GEC458754:GEC458769 GEC524290:GEC524305 GEC589826:GEC589841 GEC655362:GEC655377 GEC720898:GEC720913 GEC786434:GEC786449 GEC851970:GEC851985 GEC917506:GEC917521 GEC983042:GEC983057 GNY2:GNY17 GNY65538:GNY65553 GNY131074:GNY131089 GNY196610:GNY196625 GNY262146:GNY262161 GNY327682:GNY327697 GNY393218:GNY393233 GNY458754:GNY458769 GNY524290:GNY524305 GNY589826:GNY589841 GNY655362:GNY655377 GNY720898:GNY720913 GNY786434:GNY786449 GNY851970:GNY851985 GNY917506:GNY917521 GNY983042:GNY983057 GXU2:GXU17 GXU65538:GXU65553 GXU131074:GXU131089 GXU196610:GXU196625 GXU262146:GXU262161 GXU327682:GXU327697 GXU393218:GXU393233 GXU458754:GXU458769 GXU524290:GXU524305 GXU589826:GXU589841 GXU655362:GXU655377 GXU720898:GXU720913 GXU786434:GXU786449 GXU851970:GXU851985 GXU917506:GXU917521 GXU983042:GXU983057 HHQ2:HHQ17 HHQ65538:HHQ65553 HHQ131074:HHQ131089 HHQ196610:HHQ196625 HHQ262146:HHQ262161 HHQ327682:HHQ327697 HHQ393218:HHQ393233 HHQ458754:HHQ458769 HHQ524290:HHQ524305 HHQ589826:HHQ589841 HHQ655362:HHQ655377 HHQ720898:HHQ720913 HHQ786434:HHQ786449 HHQ851970:HHQ851985 HHQ917506:HHQ917521 HHQ983042:HHQ983057 HRM2:HRM17 HRM65538:HRM65553 HRM131074:HRM131089 HRM196610:HRM196625 HRM262146:HRM262161 HRM327682:HRM327697 HRM393218:HRM393233 HRM458754:HRM458769 HRM524290:HRM524305 HRM589826:HRM589841 HRM655362:HRM655377 HRM720898:HRM720913 HRM786434:HRM786449 HRM851970:HRM851985 HRM917506:HRM917521 HRM983042:HRM983057 IBI2:IBI17 IBI65538:IBI65553 IBI131074:IBI131089 IBI196610:IBI196625 IBI262146:IBI262161 IBI327682:IBI327697 IBI393218:IBI393233 IBI458754:IBI458769 IBI524290:IBI524305 IBI589826:IBI589841 IBI655362:IBI655377 IBI720898:IBI720913 IBI786434:IBI786449 IBI851970:IBI851985 IBI917506:IBI917521 IBI983042:IBI983057 ILE2:ILE17 ILE65538:ILE65553 ILE131074:ILE131089 ILE196610:ILE196625 ILE262146:ILE262161 ILE327682:ILE327697 ILE393218:ILE393233 ILE458754:ILE458769 ILE524290:ILE524305 ILE589826:ILE589841 ILE655362:ILE655377 ILE720898:ILE720913 ILE786434:ILE786449 ILE851970:ILE851985 ILE917506:ILE917521 ILE983042:ILE983057 IVA2:IVA17 IVA65538:IVA65553 IVA131074:IVA131089 IVA196610:IVA196625 IVA262146:IVA262161 IVA327682:IVA327697 IVA393218:IVA393233 IVA458754:IVA458769 IVA524290:IVA524305 IVA589826:IVA589841 IVA655362:IVA655377 IVA720898:IVA720913 IVA786434:IVA786449 IVA851970:IVA851985 IVA917506:IVA917521 IVA983042:IVA983057 JEW2:JEW17 JEW65538:JEW65553 JEW131074:JEW131089 JEW196610:JEW196625 JEW262146:JEW262161 JEW327682:JEW327697 JEW393218:JEW393233 JEW458754:JEW458769 JEW524290:JEW524305 JEW589826:JEW589841 JEW655362:JEW655377 JEW720898:JEW720913 JEW786434:JEW786449 JEW851970:JEW851985 JEW917506:JEW917521 JEW983042:JEW983057 JOS2:JOS17 JOS65538:JOS65553 JOS131074:JOS131089 JOS196610:JOS196625 JOS262146:JOS262161 JOS327682:JOS327697 JOS393218:JOS393233 JOS458754:JOS458769 JOS524290:JOS524305 JOS589826:JOS589841 JOS655362:JOS655377 JOS720898:JOS720913 JOS786434:JOS786449 JOS851970:JOS851985 JOS917506:JOS917521 JOS983042:JOS983057 JYO2:JYO17 JYO65538:JYO65553 JYO131074:JYO131089 JYO196610:JYO196625 JYO262146:JYO262161 JYO327682:JYO327697 JYO393218:JYO393233 JYO458754:JYO458769 JYO524290:JYO524305 JYO589826:JYO589841 JYO655362:JYO655377 JYO720898:JYO720913 JYO786434:JYO786449 JYO851970:JYO851985 JYO917506:JYO917521 JYO983042:JYO983057 KIK2:KIK17 KIK65538:KIK65553 KIK131074:KIK131089 KIK196610:KIK196625 KIK262146:KIK262161 KIK327682:KIK327697 KIK393218:KIK393233 KIK458754:KIK458769 KIK524290:KIK524305 KIK589826:KIK589841 KIK655362:KIK655377 KIK720898:KIK720913 KIK786434:KIK786449 KIK851970:KIK851985 KIK917506:KIK917521 KIK983042:KIK983057 KSG2:KSG17 KSG65538:KSG65553 KSG131074:KSG131089 KSG196610:KSG196625 KSG262146:KSG262161 KSG327682:KSG327697 KSG393218:KSG393233 KSG458754:KSG458769 KSG524290:KSG524305 KSG589826:KSG589841 KSG655362:KSG655377 KSG720898:KSG720913 KSG786434:KSG786449 KSG851970:KSG851985 KSG917506:KSG917521 KSG983042:KSG983057 LCC2:LCC17 LCC65538:LCC65553 LCC131074:LCC131089 LCC196610:LCC196625 LCC262146:LCC262161 LCC327682:LCC327697 LCC393218:LCC393233 LCC458754:LCC458769 LCC524290:LCC524305 LCC589826:LCC589841 LCC655362:LCC655377 LCC720898:LCC720913 LCC786434:LCC786449 LCC851970:LCC851985 LCC917506:LCC917521 LCC983042:LCC983057 LLY2:LLY17 LLY65538:LLY65553 LLY131074:LLY131089 LLY196610:LLY196625 LLY262146:LLY262161 LLY327682:LLY327697 LLY393218:LLY393233 LLY458754:LLY458769 LLY524290:LLY524305 LLY589826:LLY589841 LLY655362:LLY655377 LLY720898:LLY720913 LLY786434:LLY786449 LLY851970:LLY851985 LLY917506:LLY917521 LLY983042:LLY983057 LVU2:LVU17 LVU65538:LVU65553 LVU131074:LVU131089 LVU196610:LVU196625 LVU262146:LVU262161 LVU327682:LVU327697 LVU393218:LVU393233 LVU458754:LVU458769 LVU524290:LVU524305 LVU589826:LVU589841 LVU655362:LVU655377 LVU720898:LVU720913 LVU786434:LVU786449 LVU851970:LVU851985 LVU917506:LVU917521 LVU983042:LVU983057 MFQ2:MFQ17 MFQ65538:MFQ65553 MFQ131074:MFQ131089 MFQ196610:MFQ196625 MFQ262146:MFQ262161 MFQ327682:MFQ327697 MFQ393218:MFQ393233 MFQ458754:MFQ458769 MFQ524290:MFQ524305 MFQ589826:MFQ589841 MFQ655362:MFQ655377 MFQ720898:MFQ720913 MFQ786434:MFQ786449 MFQ851970:MFQ851985 MFQ917506:MFQ917521 MFQ983042:MFQ983057 MPM2:MPM17 MPM65538:MPM65553 MPM131074:MPM131089 MPM196610:MPM196625 MPM262146:MPM262161 MPM327682:MPM327697 MPM393218:MPM393233 MPM458754:MPM458769 MPM524290:MPM524305 MPM589826:MPM589841 MPM655362:MPM655377 MPM720898:MPM720913 MPM786434:MPM786449 MPM851970:MPM851985 MPM917506:MPM917521 MPM983042:MPM983057 MZI2:MZI17 MZI65538:MZI65553 MZI131074:MZI131089 MZI196610:MZI196625 MZI262146:MZI262161 MZI327682:MZI327697 MZI393218:MZI393233 MZI458754:MZI458769 MZI524290:MZI524305 MZI589826:MZI589841 MZI655362:MZI655377 MZI720898:MZI720913 MZI786434:MZI786449 MZI851970:MZI851985 MZI917506:MZI917521 MZI983042:MZI983057 NJE2:NJE17 NJE65538:NJE65553 NJE131074:NJE131089 NJE196610:NJE196625 NJE262146:NJE262161 NJE327682:NJE327697 NJE393218:NJE393233 NJE458754:NJE458769 NJE524290:NJE524305 NJE589826:NJE589841 NJE655362:NJE655377 NJE720898:NJE720913 NJE786434:NJE786449 NJE851970:NJE851985 NJE917506:NJE917521 NJE983042:NJE983057 NTA2:NTA17 NTA65538:NTA65553 NTA131074:NTA131089 NTA196610:NTA196625 NTA262146:NTA262161 NTA327682:NTA327697 NTA393218:NTA393233 NTA458754:NTA458769 NTA524290:NTA524305 NTA589826:NTA589841 NTA655362:NTA655377 NTA720898:NTA720913 NTA786434:NTA786449 NTA851970:NTA851985 NTA917506:NTA917521 NTA983042:NTA983057 OCW2:OCW17 OCW65538:OCW65553 OCW131074:OCW131089 OCW196610:OCW196625 OCW262146:OCW262161 OCW327682:OCW327697 OCW393218:OCW393233 OCW458754:OCW458769 OCW524290:OCW524305 OCW589826:OCW589841 OCW655362:OCW655377 OCW720898:OCW720913 OCW786434:OCW786449 OCW851970:OCW851985 OCW917506:OCW917521 OCW983042:OCW983057 OMS2:OMS17 OMS65538:OMS65553 OMS131074:OMS131089 OMS196610:OMS196625 OMS262146:OMS262161 OMS327682:OMS327697 OMS393218:OMS393233 OMS458754:OMS458769 OMS524290:OMS524305 OMS589826:OMS589841 OMS655362:OMS655377 OMS720898:OMS720913 OMS786434:OMS786449 OMS851970:OMS851985 OMS917506:OMS917521 OMS983042:OMS983057 OWO2:OWO17 OWO65538:OWO65553 OWO131074:OWO131089 OWO196610:OWO196625 OWO262146:OWO262161 OWO327682:OWO327697 OWO393218:OWO393233 OWO458754:OWO458769 OWO524290:OWO524305 OWO589826:OWO589841 OWO655362:OWO655377 OWO720898:OWO720913 OWO786434:OWO786449 OWO851970:OWO851985 OWO917506:OWO917521 OWO983042:OWO983057 PGK2:PGK17 PGK65538:PGK65553 PGK131074:PGK131089 PGK196610:PGK196625 PGK262146:PGK262161 PGK327682:PGK327697 PGK393218:PGK393233 PGK458754:PGK458769 PGK524290:PGK524305 PGK589826:PGK589841 PGK655362:PGK655377 PGK720898:PGK720913 PGK786434:PGK786449 PGK851970:PGK851985 PGK917506:PGK917521 PGK983042:PGK983057 PQG2:PQG17 PQG65538:PQG65553 PQG131074:PQG131089 PQG196610:PQG196625 PQG262146:PQG262161 PQG327682:PQG327697 PQG393218:PQG393233 PQG458754:PQG458769 PQG524290:PQG524305 PQG589826:PQG589841 PQG655362:PQG655377 PQG720898:PQG720913 PQG786434:PQG786449 PQG851970:PQG851985 PQG917506:PQG917521 PQG983042:PQG983057 QAC2:QAC17 QAC65538:QAC65553 QAC131074:QAC131089 QAC196610:QAC196625 QAC262146:QAC262161 QAC327682:QAC327697 QAC393218:QAC393233 QAC458754:QAC458769 QAC524290:QAC524305 QAC589826:QAC589841 QAC655362:QAC655377 QAC720898:QAC720913 QAC786434:QAC786449 QAC851970:QAC851985 QAC917506:QAC917521 QAC983042:QAC983057 QJY2:QJY17 QJY65538:QJY65553 QJY131074:QJY131089 QJY196610:QJY196625 QJY262146:QJY262161 QJY327682:QJY327697 QJY393218:QJY393233 QJY458754:QJY458769 QJY524290:QJY524305 QJY589826:QJY589841 QJY655362:QJY655377 QJY720898:QJY720913 QJY786434:QJY786449 QJY851970:QJY851985 QJY917506:QJY917521 QJY983042:QJY983057 QTU2:QTU17 QTU65538:QTU65553 QTU131074:QTU131089 QTU196610:QTU196625 QTU262146:QTU262161 QTU327682:QTU327697 QTU393218:QTU393233 QTU458754:QTU458769 QTU524290:QTU524305 QTU589826:QTU589841 QTU655362:QTU655377 QTU720898:QTU720913 QTU786434:QTU786449 QTU851970:QTU851985 QTU917506:QTU917521 QTU983042:QTU983057 RDQ2:RDQ17 RDQ65538:RDQ65553 RDQ131074:RDQ131089 RDQ196610:RDQ196625 RDQ262146:RDQ262161 RDQ327682:RDQ327697 RDQ393218:RDQ393233 RDQ458754:RDQ458769 RDQ524290:RDQ524305 RDQ589826:RDQ589841 RDQ655362:RDQ655377 RDQ720898:RDQ720913 RDQ786434:RDQ786449 RDQ851970:RDQ851985 RDQ917506:RDQ917521 RDQ983042:RDQ983057 RNM2:RNM17 RNM65538:RNM65553 RNM131074:RNM131089 RNM196610:RNM196625 RNM262146:RNM262161 RNM327682:RNM327697 RNM393218:RNM393233 RNM458754:RNM458769 RNM524290:RNM524305 RNM589826:RNM589841 RNM655362:RNM655377 RNM720898:RNM720913 RNM786434:RNM786449 RNM851970:RNM851985 RNM917506:RNM917521 RNM983042:RNM983057 RXI2:RXI17 RXI65538:RXI65553 RXI131074:RXI131089 RXI196610:RXI196625 RXI262146:RXI262161 RXI327682:RXI327697 RXI393218:RXI393233 RXI458754:RXI458769 RXI524290:RXI524305 RXI589826:RXI589841 RXI655362:RXI655377 RXI720898:RXI720913 RXI786434:RXI786449 RXI851970:RXI851985 RXI917506:RXI917521 RXI983042:RXI983057 SHE2:SHE17 SHE65538:SHE65553 SHE131074:SHE131089 SHE196610:SHE196625 SHE262146:SHE262161 SHE327682:SHE327697 SHE393218:SHE393233 SHE458754:SHE458769 SHE524290:SHE524305 SHE589826:SHE589841 SHE655362:SHE655377 SHE720898:SHE720913 SHE786434:SHE786449 SHE851970:SHE851985 SHE917506:SHE917521 SHE983042:SHE983057 SRA2:SRA17 SRA65538:SRA65553 SRA131074:SRA131089 SRA196610:SRA196625 SRA262146:SRA262161 SRA327682:SRA327697 SRA393218:SRA393233 SRA458754:SRA458769 SRA524290:SRA524305 SRA589826:SRA589841 SRA655362:SRA655377 SRA720898:SRA720913 SRA786434:SRA786449 SRA851970:SRA851985 SRA917506:SRA917521 SRA983042:SRA983057 TAW2:TAW17 TAW65538:TAW65553 TAW131074:TAW131089 TAW196610:TAW196625 TAW262146:TAW262161 TAW327682:TAW327697 TAW393218:TAW393233 TAW458754:TAW458769 TAW524290:TAW524305 TAW589826:TAW589841 TAW655362:TAW655377 TAW720898:TAW720913 TAW786434:TAW786449 TAW851970:TAW851985 TAW917506:TAW917521 TAW983042:TAW983057 TKS2:TKS17 TKS65538:TKS65553 TKS131074:TKS131089 TKS196610:TKS196625 TKS262146:TKS262161 TKS327682:TKS327697 TKS393218:TKS393233 TKS458754:TKS458769 TKS524290:TKS524305 TKS589826:TKS589841 TKS655362:TKS655377 TKS720898:TKS720913 TKS786434:TKS786449 TKS851970:TKS851985 TKS917506:TKS917521 TKS983042:TKS983057 TUO2:TUO17 TUO65538:TUO65553 TUO131074:TUO131089 TUO196610:TUO196625 TUO262146:TUO262161 TUO327682:TUO327697 TUO393218:TUO393233 TUO458754:TUO458769 TUO524290:TUO524305 TUO589826:TUO589841 TUO655362:TUO655377 TUO720898:TUO720913 TUO786434:TUO786449 TUO851970:TUO851985 TUO917506:TUO917521 TUO983042:TUO983057 UEK2:UEK17 UEK65538:UEK65553 UEK131074:UEK131089 UEK196610:UEK196625 UEK262146:UEK262161 UEK327682:UEK327697 UEK393218:UEK393233 UEK458754:UEK458769 UEK524290:UEK524305 UEK589826:UEK589841 UEK655362:UEK655377 UEK720898:UEK720913 UEK786434:UEK786449 UEK851970:UEK851985 UEK917506:UEK917521 UEK983042:UEK983057 UOG2:UOG17 UOG65538:UOG65553 UOG131074:UOG131089 UOG196610:UOG196625 UOG262146:UOG262161 UOG327682:UOG327697 UOG393218:UOG393233 UOG458754:UOG458769 UOG524290:UOG524305 UOG589826:UOG589841 UOG655362:UOG655377 UOG720898:UOG720913 UOG786434:UOG786449 UOG851970:UOG851985 UOG917506:UOG917521 UOG983042:UOG983057 UYC2:UYC17 UYC65538:UYC65553 UYC131074:UYC131089 UYC196610:UYC196625 UYC262146:UYC262161 UYC327682:UYC327697 UYC393218:UYC393233 UYC458754:UYC458769 UYC524290:UYC524305 UYC589826:UYC589841 UYC655362:UYC655377 UYC720898:UYC720913 UYC786434:UYC786449 UYC851970:UYC851985 UYC917506:UYC917521 UYC983042:UYC983057 VHY2:VHY17 VHY65538:VHY65553 VHY131074:VHY131089 VHY196610:VHY196625 VHY262146:VHY262161 VHY327682:VHY327697 VHY393218:VHY393233 VHY458754:VHY458769 VHY524290:VHY524305 VHY589826:VHY589841 VHY655362:VHY655377 VHY720898:VHY720913 VHY786434:VHY786449 VHY851970:VHY851985 VHY917506:VHY917521 VHY983042:VHY983057 VRU2:VRU17 VRU65538:VRU65553 VRU131074:VRU131089 VRU196610:VRU196625 VRU262146:VRU262161 VRU327682:VRU327697 VRU393218:VRU393233 VRU458754:VRU458769 VRU524290:VRU524305 VRU589826:VRU589841 VRU655362:VRU655377 VRU720898:VRU720913 VRU786434:VRU786449 VRU851970:VRU851985 VRU917506:VRU917521 VRU983042:VRU983057 WBQ2:WBQ17 WBQ65538:WBQ65553 WBQ131074:WBQ131089 WBQ196610:WBQ196625 WBQ262146:WBQ262161 WBQ327682:WBQ327697 WBQ393218:WBQ393233 WBQ458754:WBQ458769 WBQ524290:WBQ524305 WBQ589826:WBQ589841 WBQ655362:WBQ655377 WBQ720898:WBQ720913 WBQ786434:WBQ786449 WBQ851970:WBQ851985 WBQ917506:WBQ917521 WBQ983042:WBQ983057 WLM2:WLM17 WLM65538:WLM65553 WLM131074:WLM131089 WLM196610:WLM196625 WLM262146:WLM262161 WLM327682:WLM327697 WLM393218:WLM393233 WLM458754:WLM458769 WLM524290:WLM524305 WLM589826:WLM589841 WLM655362:WLM655377 WLM720898:WLM720913 WLM786434:WLM786449 WLM851970:WLM851985 WLM917506:WLM917521 WLM983042:WLM983057 WVI2:WVI17 WVI65538:WVI65553 WVI131074:WVI131089 WVI196610:WVI196625 WVI262146:WVI262161 WVI327682:WVI327697 WVI393218:WVI393233 WVI458754:WVI458769 WVI524290:WVI524305 WVI589826:WVI589841 WVI655362:WVI655377 WVI720898:WVI720913 WVI786434:WVI786449 WVI851970:WVI851985 WVI917506:WVI917521 WVI983042:WVI983057" xr:uid="{00000000-0002-0000-0E00-000000000000}">
      <formula1>"JBG"</formula1>
    </dataValidation>
  </dataValidations>
  <pageMargins left="0.75" right="0.25" top="0.5" bottom="0.5" header="0.5" footer="0.5"/>
  <pageSetup scale="42" orientation="portrait"/>
  <headerFooter alignWithMargins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5"/>
  <sheetViews>
    <sheetView showGridLines="0" zoomScale="115" zoomScaleNormal="115" workbookViewId="0">
      <selection activeCell="C2" sqref="C2"/>
    </sheetView>
  </sheetViews>
  <sheetFormatPr defaultColWidth="9" defaultRowHeight="14.4"/>
  <cols>
    <col min="3" max="3" width="14.5546875" customWidth="1"/>
  </cols>
  <sheetData>
    <row r="2" spans="2:2" ht="76.5" customHeight="1">
      <c r="B2" t="s">
        <v>674</v>
      </c>
    </row>
    <row r="3" spans="2:2" ht="76.5" customHeight="1">
      <c r="B3" t="s">
        <v>675</v>
      </c>
    </row>
    <row r="5" spans="2:2" ht="76.5" customHeight="1">
      <c r="B5" t="str">
        <f>IF(Dashboard!$F$28&lt;&gt;0,"Rain","Sun")</f>
        <v>Sun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B2:DY19"/>
  <sheetViews>
    <sheetView workbookViewId="0">
      <pane xSplit="2" ySplit="3" topLeftCell="CT4" activePane="bottomRight" state="frozen"/>
      <selection pane="topRight"/>
      <selection pane="bottomLeft"/>
      <selection pane="bottomRight" activeCell="CX25" sqref="CX25"/>
    </sheetView>
  </sheetViews>
  <sheetFormatPr defaultColWidth="9" defaultRowHeight="14.4"/>
  <cols>
    <col min="2" max="2" width="27.5546875" customWidth="1"/>
    <col min="3" max="33" width="6.6640625" customWidth="1"/>
    <col min="34" max="34" width="7.33203125" customWidth="1"/>
    <col min="35" max="35" width="9.5546875" customWidth="1"/>
    <col min="36" max="96" width="6.6640625" customWidth="1"/>
    <col min="97" max="97" width="7.6640625" customWidth="1"/>
    <col min="98" max="105" width="7.33203125" customWidth="1"/>
    <col min="128" max="128" width="9" hidden="1" customWidth="1"/>
  </cols>
  <sheetData>
    <row r="2" spans="2:129">
      <c r="B2" s="1106" t="s">
        <v>676</v>
      </c>
      <c r="C2" s="1110" t="s">
        <v>677</v>
      </c>
      <c r="D2" s="1110"/>
      <c r="E2" s="1110"/>
      <c r="F2" s="1110"/>
      <c r="G2" s="1110"/>
      <c r="H2" s="1110"/>
      <c r="I2" s="1110"/>
      <c r="J2" s="1110"/>
      <c r="K2" s="1110"/>
      <c r="L2" s="1110"/>
      <c r="M2" s="1110"/>
      <c r="N2" s="1110"/>
      <c r="O2" s="1110"/>
      <c r="P2" s="1110"/>
      <c r="Q2" s="1110"/>
      <c r="R2" s="1110"/>
      <c r="S2" s="1110"/>
      <c r="T2" s="1110"/>
      <c r="U2" s="1110"/>
      <c r="V2" s="1110"/>
      <c r="W2" s="1110"/>
      <c r="X2" s="1110"/>
      <c r="Y2" s="1110"/>
      <c r="Z2" s="1110"/>
      <c r="AA2" s="1110"/>
      <c r="AB2" s="1110"/>
      <c r="AC2" s="1110"/>
      <c r="AD2" s="1110"/>
      <c r="AE2" s="1110"/>
      <c r="AF2" s="1110"/>
      <c r="AG2" s="1110"/>
      <c r="AH2" s="53" t="s">
        <v>223</v>
      </c>
      <c r="AI2" s="1111" t="s">
        <v>678</v>
      </c>
      <c r="AJ2" s="1111"/>
      <c r="AK2" s="1111"/>
      <c r="AL2" s="1111"/>
      <c r="AM2" s="1111"/>
      <c r="AN2" s="1111"/>
      <c r="AO2" s="1111"/>
      <c r="AP2" s="1111"/>
      <c r="AQ2" s="1111"/>
      <c r="AR2" s="1111"/>
      <c r="AS2" s="1111"/>
      <c r="AT2" s="1111"/>
      <c r="AU2" s="1111"/>
      <c r="AV2" s="1111"/>
      <c r="AW2" s="1111"/>
      <c r="AX2" s="1111"/>
      <c r="AY2" s="1111"/>
      <c r="AZ2" s="1111"/>
      <c r="BA2" s="1111"/>
      <c r="BB2" s="1111"/>
      <c r="BC2" s="1111"/>
      <c r="BD2" s="1111"/>
      <c r="BE2" s="1111"/>
      <c r="BF2" s="1111"/>
      <c r="BG2" s="1111"/>
      <c r="BH2" s="1111"/>
      <c r="BI2" s="1111"/>
      <c r="BJ2" s="1111"/>
      <c r="BK2" s="1111"/>
      <c r="BL2" s="1111"/>
      <c r="BM2" s="53" t="s">
        <v>224</v>
      </c>
      <c r="BN2" s="1112" t="s">
        <v>225</v>
      </c>
      <c r="BO2" s="1112"/>
      <c r="BP2" s="1112"/>
      <c r="BQ2" s="1112"/>
      <c r="BR2" s="1112"/>
      <c r="BS2" s="1112"/>
      <c r="BT2" s="1112"/>
      <c r="BU2" s="1112"/>
      <c r="BV2" s="1112"/>
      <c r="BW2" s="1112"/>
      <c r="BX2" s="1112"/>
      <c r="BY2" s="1112"/>
      <c r="BZ2" s="1112"/>
      <c r="CA2" s="1112"/>
      <c r="CB2" s="1112"/>
      <c r="CC2" s="1112"/>
      <c r="CD2" s="1112"/>
      <c r="CE2" s="1112"/>
      <c r="CF2" s="1112"/>
      <c r="CG2" s="1112"/>
      <c r="CH2" s="1112"/>
      <c r="CI2" s="1112"/>
      <c r="CJ2" s="1112"/>
      <c r="CK2" s="1112"/>
      <c r="CL2" s="1112"/>
      <c r="CM2" s="1112"/>
      <c r="CN2" s="1112"/>
      <c r="CO2" s="1112"/>
      <c r="CP2" s="1112"/>
      <c r="CQ2" s="1112"/>
      <c r="CR2" s="68"/>
      <c r="CS2" s="1108" t="s">
        <v>679</v>
      </c>
      <c r="CT2" s="1112" t="s">
        <v>680</v>
      </c>
      <c r="CU2" s="1112"/>
      <c r="CV2" s="1112"/>
      <c r="CW2" s="1112"/>
      <c r="CX2" s="1112"/>
      <c r="CY2" s="1112"/>
      <c r="CZ2" s="1112"/>
      <c r="DA2" s="1112"/>
      <c r="DB2" s="1112"/>
      <c r="DC2" s="1112"/>
      <c r="DD2" s="1112"/>
      <c r="DE2" s="1112"/>
      <c r="DF2" s="1112"/>
      <c r="DG2" s="1112"/>
      <c r="DH2" s="1112"/>
      <c r="DI2" s="1112"/>
      <c r="DJ2" s="1112"/>
      <c r="DK2" s="1112"/>
      <c r="DL2" s="1112"/>
      <c r="DM2" s="1112"/>
      <c r="DN2" s="1112"/>
      <c r="DO2" s="1112"/>
      <c r="DP2" s="1112"/>
      <c r="DQ2" s="1112"/>
      <c r="DR2" s="1112"/>
      <c r="DS2" s="1112"/>
      <c r="DT2" s="1112"/>
      <c r="DU2" s="1112"/>
      <c r="DV2" s="1112"/>
      <c r="DW2" s="1112"/>
      <c r="DX2" s="79"/>
      <c r="DY2" s="1108" t="s">
        <v>681</v>
      </c>
    </row>
    <row r="3" spans="2:129" s="28" customFormat="1" ht="10.199999999999999">
      <c r="B3" s="1107"/>
      <c r="C3" s="30">
        <v>1</v>
      </c>
      <c r="D3" s="30">
        <v>2</v>
      </c>
      <c r="E3" s="30">
        <v>3</v>
      </c>
      <c r="F3" s="30">
        <v>4</v>
      </c>
      <c r="G3" s="30">
        <v>5</v>
      </c>
      <c r="H3" s="30">
        <v>6</v>
      </c>
      <c r="I3" s="30">
        <v>7</v>
      </c>
      <c r="J3" s="30">
        <v>8</v>
      </c>
      <c r="K3" s="30">
        <v>9</v>
      </c>
      <c r="L3" s="30">
        <v>10</v>
      </c>
      <c r="M3" s="30">
        <v>11</v>
      </c>
      <c r="N3" s="30">
        <v>12</v>
      </c>
      <c r="O3" s="30">
        <v>13</v>
      </c>
      <c r="P3" s="30">
        <v>14</v>
      </c>
      <c r="Q3" s="30">
        <v>15</v>
      </c>
      <c r="R3" s="30">
        <v>16</v>
      </c>
      <c r="S3" s="30">
        <v>17</v>
      </c>
      <c r="T3" s="30">
        <v>18</v>
      </c>
      <c r="U3" s="30">
        <v>19</v>
      </c>
      <c r="V3" s="30">
        <v>20</v>
      </c>
      <c r="W3" s="30">
        <v>21</v>
      </c>
      <c r="X3" s="30">
        <v>22</v>
      </c>
      <c r="Y3" s="30">
        <v>23</v>
      </c>
      <c r="Z3" s="30">
        <v>24</v>
      </c>
      <c r="AA3" s="30">
        <v>25</v>
      </c>
      <c r="AB3" s="30">
        <v>26</v>
      </c>
      <c r="AC3" s="30">
        <v>27</v>
      </c>
      <c r="AD3" s="30">
        <v>28</v>
      </c>
      <c r="AE3" s="30">
        <v>29</v>
      </c>
      <c r="AF3" s="30">
        <v>30</v>
      </c>
      <c r="AG3" s="30">
        <v>31</v>
      </c>
      <c r="AH3" s="54"/>
      <c r="AI3" s="55">
        <v>1</v>
      </c>
      <c r="AJ3" s="55">
        <v>2</v>
      </c>
      <c r="AK3" s="55">
        <v>3</v>
      </c>
      <c r="AL3" s="55">
        <v>4</v>
      </c>
      <c r="AM3" s="55">
        <v>5</v>
      </c>
      <c r="AN3" s="55">
        <v>6</v>
      </c>
      <c r="AO3" s="55">
        <v>7</v>
      </c>
      <c r="AP3" s="55">
        <v>8</v>
      </c>
      <c r="AQ3" s="55">
        <v>9</v>
      </c>
      <c r="AR3" s="55">
        <v>10</v>
      </c>
      <c r="AS3" s="55">
        <v>11</v>
      </c>
      <c r="AT3" s="55">
        <v>12</v>
      </c>
      <c r="AU3" s="55">
        <v>13</v>
      </c>
      <c r="AV3" s="55">
        <v>14</v>
      </c>
      <c r="AW3" s="55">
        <v>15</v>
      </c>
      <c r="AX3" s="55">
        <v>16</v>
      </c>
      <c r="AY3" s="55">
        <v>17</v>
      </c>
      <c r="AZ3" s="55">
        <v>18</v>
      </c>
      <c r="BA3" s="55">
        <v>19</v>
      </c>
      <c r="BB3" s="55">
        <v>20</v>
      </c>
      <c r="BC3" s="55">
        <v>21</v>
      </c>
      <c r="BD3" s="55">
        <v>22</v>
      </c>
      <c r="BE3" s="55">
        <v>23</v>
      </c>
      <c r="BF3" s="55">
        <v>24</v>
      </c>
      <c r="BG3" s="55">
        <v>25</v>
      </c>
      <c r="BH3" s="55">
        <v>26</v>
      </c>
      <c r="BI3" s="55">
        <v>27</v>
      </c>
      <c r="BJ3" s="55">
        <v>28</v>
      </c>
      <c r="BK3" s="55">
        <v>29</v>
      </c>
      <c r="BL3" s="55">
        <v>30</v>
      </c>
      <c r="BM3" s="54"/>
      <c r="BN3" s="55">
        <v>1</v>
      </c>
      <c r="BO3" s="55">
        <v>2</v>
      </c>
      <c r="BP3" s="55">
        <v>3</v>
      </c>
      <c r="BQ3" s="55">
        <v>4</v>
      </c>
      <c r="BR3" s="55">
        <v>5</v>
      </c>
      <c r="BS3" s="55">
        <v>6</v>
      </c>
      <c r="BT3" s="55">
        <v>7</v>
      </c>
      <c r="BU3" s="55">
        <v>8</v>
      </c>
      <c r="BV3" s="55">
        <v>9</v>
      </c>
      <c r="BW3" s="55">
        <v>10</v>
      </c>
      <c r="BX3" s="55">
        <v>11</v>
      </c>
      <c r="BY3" s="55">
        <v>12</v>
      </c>
      <c r="BZ3" s="55">
        <v>13</v>
      </c>
      <c r="CA3" s="55">
        <v>14</v>
      </c>
      <c r="CB3" s="55">
        <v>15</v>
      </c>
      <c r="CC3" s="55">
        <v>16</v>
      </c>
      <c r="CD3" s="55">
        <v>17</v>
      </c>
      <c r="CE3" s="55">
        <v>18</v>
      </c>
      <c r="CF3" s="55">
        <v>19</v>
      </c>
      <c r="CG3" s="55">
        <v>20</v>
      </c>
      <c r="CH3" s="55">
        <v>21</v>
      </c>
      <c r="CI3" s="55">
        <v>22</v>
      </c>
      <c r="CJ3" s="55">
        <v>23</v>
      </c>
      <c r="CK3" s="55">
        <v>24</v>
      </c>
      <c r="CL3" s="55">
        <v>25</v>
      </c>
      <c r="CM3" s="55">
        <v>26</v>
      </c>
      <c r="CN3" s="55">
        <v>27</v>
      </c>
      <c r="CO3" s="55">
        <v>28</v>
      </c>
      <c r="CP3" s="55">
        <v>29</v>
      </c>
      <c r="CQ3" s="55">
        <v>30</v>
      </c>
      <c r="CR3" s="69">
        <v>31</v>
      </c>
      <c r="CS3" s="1109"/>
      <c r="CT3" s="55">
        <v>1</v>
      </c>
      <c r="CU3" s="55">
        <v>2</v>
      </c>
      <c r="CV3" s="55">
        <v>3</v>
      </c>
      <c r="CW3" s="55">
        <v>4</v>
      </c>
      <c r="CX3" s="55">
        <v>5</v>
      </c>
      <c r="CY3" s="55">
        <v>6</v>
      </c>
      <c r="CZ3" s="55">
        <v>7</v>
      </c>
      <c r="DA3" s="55">
        <v>8</v>
      </c>
      <c r="DB3" s="55">
        <v>9</v>
      </c>
      <c r="DC3" s="55">
        <v>10</v>
      </c>
      <c r="DD3" s="55">
        <v>11</v>
      </c>
      <c r="DE3" s="55">
        <v>12</v>
      </c>
      <c r="DF3" s="55">
        <v>13</v>
      </c>
      <c r="DG3" s="55">
        <v>14</v>
      </c>
      <c r="DH3" s="55">
        <v>15</v>
      </c>
      <c r="DI3" s="55">
        <v>16</v>
      </c>
      <c r="DJ3" s="55">
        <v>17</v>
      </c>
      <c r="DK3" s="55">
        <v>18</v>
      </c>
      <c r="DL3" s="55">
        <v>19</v>
      </c>
      <c r="DM3" s="55">
        <v>20</v>
      </c>
      <c r="DN3" s="55">
        <v>21</v>
      </c>
      <c r="DO3" s="55">
        <v>22</v>
      </c>
      <c r="DP3" s="55">
        <v>23</v>
      </c>
      <c r="DQ3" s="55">
        <v>24</v>
      </c>
      <c r="DR3" s="55">
        <v>25</v>
      </c>
      <c r="DS3" s="55">
        <v>26</v>
      </c>
      <c r="DT3" s="55">
        <v>27</v>
      </c>
      <c r="DU3" s="55">
        <v>28</v>
      </c>
      <c r="DV3" s="55">
        <v>29</v>
      </c>
      <c r="DW3" s="55">
        <v>30</v>
      </c>
      <c r="DX3" s="55"/>
      <c r="DY3" s="1109"/>
    </row>
    <row r="4" spans="2:129">
      <c r="B4" s="31" t="s">
        <v>682</v>
      </c>
      <c r="C4" s="32">
        <f>Actual!E236</f>
        <v>1370.3389999999999</v>
      </c>
      <c r="D4" s="32">
        <f>Actual!F236</f>
        <v>1370.3389999999999</v>
      </c>
      <c r="E4" s="32">
        <f>Actual!G236</f>
        <v>1370.3389999999999</v>
      </c>
      <c r="F4" s="32">
        <f>Actual!H236</f>
        <v>1370.3389999999999</v>
      </c>
      <c r="G4" s="32">
        <f>Actual!I236</f>
        <v>1370.3389999999999</v>
      </c>
      <c r="H4" s="32">
        <f>Actual!J236</f>
        <v>1370.3389999999999</v>
      </c>
      <c r="I4" s="32">
        <f>Actual!K236</f>
        <v>1370.3389999999999</v>
      </c>
      <c r="J4" s="32">
        <f>Actual!L236</f>
        <v>1370.3389999999999</v>
      </c>
      <c r="K4" s="32">
        <f>Actual!M236</f>
        <v>1370.3389999999999</v>
      </c>
      <c r="L4" s="32">
        <f>Actual!N236</f>
        <v>1370.3389999999999</v>
      </c>
      <c r="M4" s="32">
        <f>Actual!O236</f>
        <v>1370.3389999999999</v>
      </c>
      <c r="N4" s="32">
        <f>Actual!P236</f>
        <v>1370.3389999999999</v>
      </c>
      <c r="O4" s="32">
        <f>Actual!Q236</f>
        <v>1370.3389999999999</v>
      </c>
      <c r="P4" s="32">
        <f>Actual!R236</f>
        <v>1370.3389999999999</v>
      </c>
      <c r="Q4" s="32">
        <f>Actual!S236</f>
        <v>1370.3389999999999</v>
      </c>
      <c r="R4" s="32" t="e">
        <f>Actual!#REF!</f>
        <v>#REF!</v>
      </c>
      <c r="S4" s="32">
        <f>Actual!U236</f>
        <v>1370.3389999999999</v>
      </c>
      <c r="T4" s="32">
        <f>Actual!V236</f>
        <v>1370.3389999999999</v>
      </c>
      <c r="U4" s="32">
        <f>Actual!W236</f>
        <v>1370.3389999999999</v>
      </c>
      <c r="V4" s="32">
        <f>Actual!X236</f>
        <v>1370.3389999999999</v>
      </c>
      <c r="W4" s="32">
        <f>Actual!Y236</f>
        <v>1370.3389999999999</v>
      </c>
      <c r="X4" s="32">
        <f>Actual!Z236</f>
        <v>1370.3389999999999</v>
      </c>
      <c r="Y4" s="32">
        <f>Actual!AA236</f>
        <v>1370.3389999999999</v>
      </c>
      <c r="Z4" s="32">
        <f>Actual!AB236</f>
        <v>1370.3389999999999</v>
      </c>
      <c r="AA4" s="32">
        <f>Actual!AC236</f>
        <v>1370.3389999999999</v>
      </c>
      <c r="AB4" s="32">
        <f>Actual!AD236</f>
        <v>1370.3389999999999</v>
      </c>
      <c r="AC4" s="32">
        <f>Actual!AE236</f>
        <v>1370.3389999999999</v>
      </c>
      <c r="AD4" s="32">
        <f>Actual!AF236</f>
        <v>1370.3389999999999</v>
      </c>
      <c r="AE4" s="32">
        <f>Actual!AG236</f>
        <v>1370.3389999999999</v>
      </c>
      <c r="AF4" s="32">
        <f>Actual!AH236</f>
        <v>1370.3389999999999</v>
      </c>
      <c r="AG4" s="32">
        <f>AF4+AG5-AG9-AG11-AG13</f>
        <v>-2629.6610000000001</v>
      </c>
      <c r="AH4" s="56"/>
      <c r="AI4" s="57">
        <f>AG4+AI5-AI9-AI11-AI13</f>
        <v>-15129.661</v>
      </c>
      <c r="AJ4" s="57">
        <f t="shared" ref="AJ4:BS4" si="0">AI4+AJ5-AJ9-AJ11-AJ13</f>
        <v>-18629.661</v>
      </c>
      <c r="AK4" s="57">
        <f t="shared" si="0"/>
        <v>-22129.661</v>
      </c>
      <c r="AL4" s="57">
        <f t="shared" si="0"/>
        <v>-24129.661</v>
      </c>
      <c r="AM4" s="57">
        <f t="shared" si="0"/>
        <v>-26629.661</v>
      </c>
      <c r="AN4" s="57">
        <f t="shared" si="0"/>
        <v>-29129.661</v>
      </c>
      <c r="AO4" s="57">
        <f t="shared" si="0"/>
        <v>-31629.661</v>
      </c>
      <c r="AP4" s="57">
        <f t="shared" si="0"/>
        <v>-33129.661</v>
      </c>
      <c r="AQ4" s="57">
        <f t="shared" si="0"/>
        <v>-29629.661</v>
      </c>
      <c r="AR4" s="57">
        <f t="shared" si="0"/>
        <v>-33429.661</v>
      </c>
      <c r="AS4" s="57">
        <f t="shared" si="0"/>
        <v>-30429.661</v>
      </c>
      <c r="AT4" s="57">
        <f t="shared" si="0"/>
        <v>-28929.661</v>
      </c>
      <c r="AU4" s="57">
        <f t="shared" si="0"/>
        <v>-33229.661</v>
      </c>
      <c r="AV4" s="57">
        <f t="shared" si="0"/>
        <v>-30229.661</v>
      </c>
      <c r="AW4" s="57">
        <f t="shared" si="0"/>
        <v>-27229.661</v>
      </c>
      <c r="AX4" s="57">
        <f t="shared" si="0"/>
        <v>-31529.661</v>
      </c>
      <c r="AY4" s="57">
        <f t="shared" si="0"/>
        <v>-28529.661</v>
      </c>
      <c r="AZ4" s="57">
        <f t="shared" si="0"/>
        <v>-25529.661</v>
      </c>
      <c r="BA4" s="57">
        <f t="shared" si="0"/>
        <v>-31329.661</v>
      </c>
      <c r="BB4" s="57">
        <f t="shared" si="0"/>
        <v>-27329.661</v>
      </c>
      <c r="BC4" s="57">
        <f t="shared" si="0"/>
        <v>-23329.661</v>
      </c>
      <c r="BD4" s="57">
        <f t="shared" si="0"/>
        <v>-26629.661</v>
      </c>
      <c r="BE4" s="57">
        <f t="shared" si="0"/>
        <v>-22629.661</v>
      </c>
      <c r="BF4" s="57">
        <f t="shared" si="0"/>
        <v>-18629.661</v>
      </c>
      <c r="BG4" s="57">
        <f t="shared" si="0"/>
        <v>-21929.661</v>
      </c>
      <c r="BH4" s="57">
        <f t="shared" si="0"/>
        <v>-20429.661</v>
      </c>
      <c r="BI4" s="57">
        <f t="shared" si="0"/>
        <v>-16929.661</v>
      </c>
      <c r="BJ4" s="57">
        <f t="shared" si="0"/>
        <v>-13929.661</v>
      </c>
      <c r="BK4" s="57">
        <f t="shared" si="0"/>
        <v>-10929.661</v>
      </c>
      <c r="BL4" s="57">
        <f t="shared" si="0"/>
        <v>-7929.6610000000001</v>
      </c>
      <c r="BM4" s="56"/>
      <c r="BN4" s="57">
        <f>BL4+BN5-BN9-BN11-BN13</f>
        <v>-13429.661</v>
      </c>
      <c r="BO4" s="57">
        <f t="shared" si="0"/>
        <v>-17429.661</v>
      </c>
      <c r="BP4" s="57">
        <f t="shared" si="0"/>
        <v>-21429.661</v>
      </c>
      <c r="BQ4" s="57">
        <f t="shared" si="0"/>
        <v>-23929.661</v>
      </c>
      <c r="BR4" s="57">
        <f t="shared" si="0"/>
        <v>-26929.661</v>
      </c>
      <c r="BS4" s="57">
        <f t="shared" si="0"/>
        <v>-30429.661</v>
      </c>
      <c r="BT4" s="57">
        <f t="shared" ref="BT4:CE4" si="1">BS4+BT5-BT9-BT11-BT13</f>
        <v>-33429.661</v>
      </c>
      <c r="BU4" s="57">
        <f t="shared" si="1"/>
        <v>-35429.661</v>
      </c>
      <c r="BV4" s="65">
        <f t="shared" si="1"/>
        <v>-32429.661</v>
      </c>
      <c r="BW4" s="65">
        <f t="shared" si="1"/>
        <v>-30929.661</v>
      </c>
      <c r="BX4" s="65">
        <f t="shared" si="1"/>
        <v>-27429.661</v>
      </c>
      <c r="BY4" s="65">
        <f t="shared" si="1"/>
        <v>-31229.661</v>
      </c>
      <c r="BZ4" s="65">
        <f t="shared" si="1"/>
        <v>-28229.661</v>
      </c>
      <c r="CA4" s="65">
        <f t="shared" si="1"/>
        <v>-32029.661</v>
      </c>
      <c r="CB4" s="65">
        <f t="shared" si="1"/>
        <v>-28529.661</v>
      </c>
      <c r="CC4" s="65">
        <f t="shared" si="1"/>
        <v>-32329.661</v>
      </c>
      <c r="CD4" s="65">
        <f t="shared" si="1"/>
        <v>-30829.661</v>
      </c>
      <c r="CE4" s="65">
        <f t="shared" si="1"/>
        <v>-34629.661</v>
      </c>
      <c r="CF4" s="65">
        <f>CE4+CF5-CF9-CF11</f>
        <v>-31129.661</v>
      </c>
      <c r="CG4" s="65">
        <f>CF4+CG5-CG9-CG11-CG13</f>
        <v>-34929.661</v>
      </c>
      <c r="CH4" s="65">
        <f t="shared" ref="CH4:CR4" si="2">CG4+CH5-CH9-CH11-CH13</f>
        <v>-38429.661</v>
      </c>
      <c r="CI4" s="65">
        <f t="shared" si="2"/>
        <v>-42229.661</v>
      </c>
      <c r="CJ4" s="65">
        <f t="shared" si="2"/>
        <v>-45729.661</v>
      </c>
      <c r="CK4" s="65">
        <f t="shared" si="2"/>
        <v>-44229.661</v>
      </c>
      <c r="CL4" s="65">
        <f t="shared" si="2"/>
        <v>-46229.661</v>
      </c>
      <c r="CM4" s="65">
        <f t="shared" si="2"/>
        <v>-42729.661</v>
      </c>
      <c r="CN4" s="65">
        <f t="shared" si="2"/>
        <v>-45229.661</v>
      </c>
      <c r="CO4" s="65">
        <f t="shared" si="2"/>
        <v>-41729.661</v>
      </c>
      <c r="CP4" s="65">
        <f t="shared" si="2"/>
        <v>-44229.661</v>
      </c>
      <c r="CQ4" s="65">
        <f t="shared" si="2"/>
        <v>-40729.661</v>
      </c>
      <c r="CR4" s="65">
        <f t="shared" si="2"/>
        <v>-43229.661</v>
      </c>
      <c r="CS4" s="73"/>
      <c r="CT4" s="74">
        <f>CR4+CT5-CT9-CT11-CT13</f>
        <v>-41729.661</v>
      </c>
      <c r="CU4" s="74">
        <f>CS4+CU5-CU9-CU11-CU13</f>
        <v>3000</v>
      </c>
      <c r="CV4" s="57">
        <f t="shared" ref="CV4:DA4" si="3">CU4+CV5-CV9-DS11-CV13</f>
        <v>500</v>
      </c>
      <c r="CW4" s="57">
        <f t="shared" si="3"/>
        <v>-2500</v>
      </c>
      <c r="CX4" s="57">
        <f t="shared" si="3"/>
        <v>-5500</v>
      </c>
      <c r="CY4" s="57">
        <f t="shared" si="3"/>
        <v>-8500</v>
      </c>
      <c r="CZ4" s="57">
        <f t="shared" si="3"/>
        <v>-12000</v>
      </c>
      <c r="DA4" s="57">
        <f t="shared" si="3"/>
        <v>-16300</v>
      </c>
      <c r="DB4" s="57">
        <f t="shared" ref="DB4:DO4" si="4">DA4+DB5-DB9-DB11-DB13</f>
        <v>-13300</v>
      </c>
      <c r="DC4" s="57">
        <f t="shared" si="4"/>
        <v>-17600</v>
      </c>
      <c r="DD4" s="57">
        <f t="shared" si="4"/>
        <v>-14600</v>
      </c>
      <c r="DE4" s="57">
        <f t="shared" si="4"/>
        <v>-18900</v>
      </c>
      <c r="DF4" s="57">
        <f t="shared" si="4"/>
        <v>-15900</v>
      </c>
      <c r="DG4" s="57">
        <f t="shared" si="4"/>
        <v>-21700</v>
      </c>
      <c r="DH4" s="57">
        <f t="shared" si="4"/>
        <v>-18700</v>
      </c>
      <c r="DI4" s="57">
        <f t="shared" si="4"/>
        <v>-23000</v>
      </c>
      <c r="DJ4" s="57">
        <f t="shared" si="4"/>
        <v>-20000</v>
      </c>
      <c r="DK4" s="57">
        <f t="shared" si="4"/>
        <v>-24300</v>
      </c>
      <c r="DL4" s="57">
        <f t="shared" si="4"/>
        <v>-28300</v>
      </c>
      <c r="DM4" s="57">
        <f t="shared" si="4"/>
        <v>-32300</v>
      </c>
      <c r="DN4" s="57">
        <f t="shared" si="4"/>
        <v>-36300</v>
      </c>
      <c r="DO4" s="57">
        <f t="shared" si="4"/>
        <v>-39300</v>
      </c>
      <c r="DP4" s="57">
        <f t="shared" ref="DP4:DW4" si="5">DO4+DP5-DP9-DP11-DP13</f>
        <v>-49300</v>
      </c>
      <c r="DQ4" s="57">
        <f t="shared" si="5"/>
        <v>-58800</v>
      </c>
      <c r="DR4" s="57">
        <f t="shared" si="5"/>
        <v>-62800</v>
      </c>
      <c r="DS4" s="57">
        <f t="shared" si="5"/>
        <v>-65300</v>
      </c>
      <c r="DT4" s="57">
        <f t="shared" si="5"/>
        <v>-68300</v>
      </c>
      <c r="DU4" s="57">
        <f t="shared" si="5"/>
        <v>-71300</v>
      </c>
      <c r="DV4" s="57">
        <f t="shared" si="5"/>
        <v>-74300</v>
      </c>
      <c r="DW4" s="57">
        <f t="shared" si="5"/>
        <v>-76300</v>
      </c>
      <c r="DX4" s="57"/>
      <c r="DY4" s="56"/>
    </row>
    <row r="5" spans="2:129">
      <c r="B5" s="13" t="s">
        <v>683</v>
      </c>
      <c r="C5" s="33">
        <f>Actual!E232</f>
        <v>0</v>
      </c>
      <c r="D5" s="33">
        <f>Actual!F232</f>
        <v>0</v>
      </c>
      <c r="E5" s="33">
        <f>Actual!G232</f>
        <v>0</v>
      </c>
      <c r="F5" s="33">
        <f>Actual!H232</f>
        <v>0</v>
      </c>
      <c r="G5" s="33">
        <f>Actual!I232</f>
        <v>0</v>
      </c>
      <c r="H5" s="33">
        <f>Actual!J232</f>
        <v>0</v>
      </c>
      <c r="I5" s="33">
        <f>Actual!K232</f>
        <v>0</v>
      </c>
      <c r="J5" s="33">
        <f>Actual!L232</f>
        <v>0</v>
      </c>
      <c r="K5" s="33">
        <f>Actual!M232</f>
        <v>0</v>
      </c>
      <c r="L5" s="33">
        <f>Actual!N232</f>
        <v>0</v>
      </c>
      <c r="M5" s="33">
        <f>Actual!O232</f>
        <v>0</v>
      </c>
      <c r="N5" s="33">
        <f>Actual!P232</f>
        <v>0</v>
      </c>
      <c r="O5" s="33">
        <f>Actual!Q232</f>
        <v>0</v>
      </c>
      <c r="P5" s="33">
        <f>Actual!R232</f>
        <v>0</v>
      </c>
      <c r="Q5" s="33">
        <f>Actual!S232</f>
        <v>0</v>
      </c>
      <c r="R5" s="33">
        <f>Actual!T232</f>
        <v>0</v>
      </c>
      <c r="S5" s="33">
        <f>Actual!U232</f>
        <v>0</v>
      </c>
      <c r="T5" s="33">
        <f>Actual!V232</f>
        <v>0</v>
      </c>
      <c r="U5" s="33">
        <f>Actual!W232</f>
        <v>0</v>
      </c>
      <c r="V5" s="33">
        <f>Actual!X232</f>
        <v>0</v>
      </c>
      <c r="W5" s="33">
        <f>Actual!Y232</f>
        <v>0</v>
      </c>
      <c r="X5" s="33">
        <f>Actual!Z232</f>
        <v>0</v>
      </c>
      <c r="Y5" s="33">
        <f>Actual!AA232</f>
        <v>0</v>
      </c>
      <c r="Z5" s="33">
        <f>Actual!AB232</f>
        <v>0</v>
      </c>
      <c r="AA5" s="33">
        <f>Actual!AC232</f>
        <v>0</v>
      </c>
      <c r="AB5" s="33">
        <f>Actual!AD232</f>
        <v>0</v>
      </c>
      <c r="AC5" s="33">
        <f>Actual!AE232</f>
        <v>0</v>
      </c>
      <c r="AD5" s="33">
        <f>Actual!AF232</f>
        <v>0</v>
      </c>
      <c r="AE5" s="33">
        <f>Actual!AG232</f>
        <v>0</v>
      </c>
      <c r="AF5" s="33">
        <f>Actual!AH232</f>
        <v>0</v>
      </c>
      <c r="AG5" s="33">
        <v>3000</v>
      </c>
      <c r="AH5" s="58">
        <f>SUM(C5:AG5)</f>
        <v>3000</v>
      </c>
      <c r="AI5" s="33">
        <v>1500</v>
      </c>
      <c r="AJ5" s="33">
        <v>3500</v>
      </c>
      <c r="AK5" s="33">
        <v>3500</v>
      </c>
      <c r="AL5" s="33">
        <v>3500</v>
      </c>
      <c r="AM5" s="33">
        <v>3500</v>
      </c>
      <c r="AN5" s="33">
        <v>3500</v>
      </c>
      <c r="AO5" s="33">
        <v>3500</v>
      </c>
      <c r="AP5" s="33">
        <v>3500</v>
      </c>
      <c r="AQ5" s="33">
        <v>3500</v>
      </c>
      <c r="AR5" s="33">
        <v>3500</v>
      </c>
      <c r="AS5" s="33">
        <v>3000</v>
      </c>
      <c r="AT5" s="33">
        <v>1500</v>
      </c>
      <c r="AU5" s="33">
        <v>3000</v>
      </c>
      <c r="AV5" s="33">
        <v>3000</v>
      </c>
      <c r="AW5" s="33">
        <v>3000</v>
      </c>
      <c r="AX5" s="33">
        <v>3000</v>
      </c>
      <c r="AY5" s="33">
        <v>3000</v>
      </c>
      <c r="AZ5" s="33">
        <v>3000</v>
      </c>
      <c r="BA5" s="33">
        <v>1500</v>
      </c>
      <c r="BB5" s="33">
        <v>4000</v>
      </c>
      <c r="BC5" s="33">
        <v>4000</v>
      </c>
      <c r="BD5" s="33">
        <v>4000</v>
      </c>
      <c r="BE5" s="33">
        <v>4000</v>
      </c>
      <c r="BF5" s="33">
        <v>4000</v>
      </c>
      <c r="BG5" s="33">
        <v>4000</v>
      </c>
      <c r="BH5" s="33">
        <v>1500</v>
      </c>
      <c r="BI5" s="33">
        <v>3500</v>
      </c>
      <c r="BJ5" s="33">
        <v>3000</v>
      </c>
      <c r="BK5" s="33">
        <v>3000</v>
      </c>
      <c r="BL5" s="33">
        <v>3000</v>
      </c>
      <c r="BM5" s="63">
        <f>SUM(AI5:BL5)</f>
        <v>95000</v>
      </c>
      <c r="BN5" s="33">
        <v>1500</v>
      </c>
      <c r="BO5" s="33">
        <v>3000</v>
      </c>
      <c r="BP5" s="33">
        <v>3000</v>
      </c>
      <c r="BQ5" s="33">
        <v>3000</v>
      </c>
      <c r="BR5" s="33">
        <v>3000</v>
      </c>
      <c r="BS5" s="33">
        <v>2500</v>
      </c>
      <c r="BT5" s="33">
        <v>3000</v>
      </c>
      <c r="BU5" s="33">
        <v>3000</v>
      </c>
      <c r="BV5" s="33">
        <v>3000</v>
      </c>
      <c r="BW5" s="33">
        <v>1500</v>
      </c>
      <c r="BX5" s="33">
        <v>3500</v>
      </c>
      <c r="BY5" s="33">
        <v>3500</v>
      </c>
      <c r="BZ5" s="33">
        <v>3000</v>
      </c>
      <c r="CA5" s="33">
        <v>3500</v>
      </c>
      <c r="CB5" s="33">
        <v>3500</v>
      </c>
      <c r="CC5" s="33">
        <v>3500</v>
      </c>
      <c r="CD5" s="33">
        <v>1500</v>
      </c>
      <c r="CE5" s="33">
        <v>3500</v>
      </c>
      <c r="CF5" s="33">
        <v>3500</v>
      </c>
      <c r="CG5" s="33">
        <v>3500</v>
      </c>
      <c r="CH5" s="33">
        <v>3500</v>
      </c>
      <c r="CI5" s="33">
        <v>3500</v>
      </c>
      <c r="CJ5" s="33">
        <v>3500</v>
      </c>
      <c r="CK5" s="33">
        <v>1500</v>
      </c>
      <c r="CL5" s="33">
        <v>3500</v>
      </c>
      <c r="CM5" s="33">
        <v>3500</v>
      </c>
      <c r="CN5" s="33">
        <v>3500</v>
      </c>
      <c r="CO5" s="33">
        <v>3500</v>
      </c>
      <c r="CP5" s="33">
        <v>3500</v>
      </c>
      <c r="CQ5" s="33">
        <v>3500</v>
      </c>
      <c r="CR5" s="70">
        <v>3000</v>
      </c>
      <c r="CS5" s="75">
        <f>SUM(BN5:CR5)</f>
        <v>95000</v>
      </c>
      <c r="CT5" s="33">
        <v>1500</v>
      </c>
      <c r="CU5" s="33">
        <v>3000</v>
      </c>
      <c r="CV5" s="33">
        <v>3000</v>
      </c>
      <c r="CW5" s="33">
        <v>3000</v>
      </c>
      <c r="CX5" s="33">
        <v>3000</v>
      </c>
      <c r="CY5" s="33">
        <v>3000</v>
      </c>
      <c r="CZ5" s="33">
        <v>1500</v>
      </c>
      <c r="DA5" s="33">
        <v>3000</v>
      </c>
      <c r="DB5" s="33">
        <v>3000</v>
      </c>
      <c r="DC5" s="33">
        <v>3000</v>
      </c>
      <c r="DD5" s="33">
        <v>3000</v>
      </c>
      <c r="DE5" s="33">
        <v>3000</v>
      </c>
      <c r="DF5" s="33">
        <v>3000</v>
      </c>
      <c r="DG5" s="33">
        <v>1500</v>
      </c>
      <c r="DH5" s="33">
        <v>3000</v>
      </c>
      <c r="DI5" s="33">
        <v>3000</v>
      </c>
      <c r="DJ5" s="33">
        <v>3000</v>
      </c>
      <c r="DK5" s="33">
        <v>3000</v>
      </c>
      <c r="DL5" s="33">
        <v>3000</v>
      </c>
      <c r="DM5" s="33">
        <v>3000</v>
      </c>
      <c r="DN5" s="33">
        <v>1500</v>
      </c>
      <c r="DO5" s="33">
        <v>3000</v>
      </c>
      <c r="DP5" s="33">
        <v>3000</v>
      </c>
      <c r="DQ5" s="33">
        <v>3000</v>
      </c>
      <c r="DR5" s="33">
        <v>3000</v>
      </c>
      <c r="DS5" s="33">
        <v>3000</v>
      </c>
      <c r="DT5" s="33">
        <v>3000</v>
      </c>
      <c r="DU5" s="33">
        <v>3000</v>
      </c>
      <c r="DV5" s="33">
        <v>3000</v>
      </c>
      <c r="DW5" s="33">
        <v>3000</v>
      </c>
      <c r="DX5" s="33"/>
      <c r="DY5" s="63">
        <f>SUM(CT5:DX5)</f>
        <v>84000</v>
      </c>
    </row>
    <row r="6" spans="2:129">
      <c r="B6" s="13" t="s">
        <v>684</v>
      </c>
      <c r="C6" s="33">
        <f>Actual!F224</f>
        <v>0</v>
      </c>
      <c r="D6" s="33">
        <f>Actual!G224</f>
        <v>0</v>
      </c>
      <c r="E6" s="33">
        <f>Actual!H224</f>
        <v>0</v>
      </c>
      <c r="F6" s="33">
        <f>Actual!I224</f>
        <v>0</v>
      </c>
      <c r="G6" s="33">
        <f>Actual!J224</f>
        <v>0</v>
      </c>
      <c r="H6" s="33">
        <f>Actual!K224</f>
        <v>0</v>
      </c>
      <c r="I6" s="33">
        <f>Actual!L224</f>
        <v>0</v>
      </c>
      <c r="J6" s="33">
        <f>Actual!M224</f>
        <v>0</v>
      </c>
      <c r="K6" s="33">
        <f>Actual!N224</f>
        <v>0</v>
      </c>
      <c r="L6" s="33">
        <f>Actual!O224</f>
        <v>0</v>
      </c>
      <c r="M6" s="33">
        <f>Actual!P224</f>
        <v>0</v>
      </c>
      <c r="N6" s="33">
        <f>Actual!Q224</f>
        <v>0</v>
      </c>
      <c r="O6" s="33">
        <f>Actual!R224</f>
        <v>0</v>
      </c>
      <c r="P6" s="33">
        <f>Actual!S224</f>
        <v>0</v>
      </c>
      <c r="Q6" s="33">
        <f>Actual!T224</f>
        <v>0</v>
      </c>
      <c r="R6" s="33">
        <f>Actual!U224</f>
        <v>0</v>
      </c>
      <c r="S6" s="33">
        <f>Actual!V224</f>
        <v>0</v>
      </c>
      <c r="T6" s="33">
        <f>Actual!W224</f>
        <v>0</v>
      </c>
      <c r="U6" s="33">
        <f>Actual!X224</f>
        <v>0</v>
      </c>
      <c r="V6" s="33">
        <f>Actual!Y224</f>
        <v>0</v>
      </c>
      <c r="W6" s="33">
        <f>Actual!Z224</f>
        <v>0</v>
      </c>
      <c r="X6" s="33">
        <f>Actual!AA224</f>
        <v>0</v>
      </c>
      <c r="Y6" s="33">
        <f>Actual!AB224</f>
        <v>0</v>
      </c>
      <c r="Z6" s="33">
        <f>Actual!AC224</f>
        <v>0</v>
      </c>
      <c r="AA6" s="33">
        <f>Actual!AD224</f>
        <v>0</v>
      </c>
      <c r="AB6" s="33">
        <f>Actual!AE224</f>
        <v>0</v>
      </c>
      <c r="AC6" s="33">
        <f>Actual!AF224</f>
        <v>0</v>
      </c>
      <c r="AD6" s="33">
        <f>Actual!AG224</f>
        <v>0</v>
      </c>
      <c r="AE6" s="33">
        <f>Actual!AH224</f>
        <v>0</v>
      </c>
      <c r="AF6" s="33">
        <f>Actual!AI224</f>
        <v>0</v>
      </c>
      <c r="AG6" s="33">
        <f>Actual!AJ224</f>
        <v>0</v>
      </c>
      <c r="AH6" s="58">
        <f t="shared" ref="AH6:AH13" si="6">SUM(C6:AG6)</f>
        <v>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63">
        <f t="shared" ref="BM6:BM13" si="7">SUM(AI6:BL6)</f>
        <v>0</v>
      </c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70"/>
      <c r="CS6" s="75">
        <f t="shared" ref="CS6:CS14" si="8">SUM(BN6:CR6)</f>
        <v>0</v>
      </c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63">
        <f t="shared" ref="DY6:DY14" si="9">SUM(CT6:DX6)</f>
        <v>0</v>
      </c>
    </row>
    <row r="7" spans="2:129">
      <c r="B7" s="13" t="s">
        <v>685</v>
      </c>
      <c r="C7" s="33">
        <f>Actual!E234</f>
        <v>0</v>
      </c>
      <c r="D7" s="33">
        <f>Actual!F234</f>
        <v>0</v>
      </c>
      <c r="E7" s="33">
        <f>Actual!G234</f>
        <v>0</v>
      </c>
      <c r="F7" s="33">
        <f>Actual!H234</f>
        <v>0</v>
      </c>
      <c r="G7" s="33">
        <f>Actual!I234</f>
        <v>0</v>
      </c>
      <c r="H7" s="33">
        <f>Actual!J234</f>
        <v>0</v>
      </c>
      <c r="I7" s="33">
        <f>Actual!K234</f>
        <v>0</v>
      </c>
      <c r="J7" s="33">
        <f>Actual!L234</f>
        <v>0</v>
      </c>
      <c r="K7" s="33">
        <f>Actual!M234</f>
        <v>0</v>
      </c>
      <c r="L7" s="33">
        <f>Actual!N234</f>
        <v>0</v>
      </c>
      <c r="M7" s="33">
        <f>Actual!O234</f>
        <v>0</v>
      </c>
      <c r="N7" s="33">
        <f>Actual!P234</f>
        <v>0</v>
      </c>
      <c r="O7" s="33">
        <f>Actual!Q234</f>
        <v>0</v>
      </c>
      <c r="P7" s="33">
        <f>Actual!R234</f>
        <v>0</v>
      </c>
      <c r="Q7" s="33">
        <f>Actual!S234</f>
        <v>0</v>
      </c>
      <c r="R7" s="33">
        <f>Actual!T234</f>
        <v>0</v>
      </c>
      <c r="S7" s="33">
        <f>Actual!U234</f>
        <v>0</v>
      </c>
      <c r="T7" s="33">
        <f>Actual!V234</f>
        <v>0</v>
      </c>
      <c r="U7" s="33">
        <f>Actual!W234</f>
        <v>0</v>
      </c>
      <c r="V7" s="33">
        <f>Actual!X234</f>
        <v>0</v>
      </c>
      <c r="W7" s="33">
        <f>Actual!Y234</f>
        <v>0</v>
      </c>
      <c r="X7" s="33">
        <f>Actual!Z234</f>
        <v>0</v>
      </c>
      <c r="Y7" s="33">
        <f>Actual!AA234</f>
        <v>0</v>
      </c>
      <c r="Z7" s="33">
        <f>Actual!AB234</f>
        <v>0</v>
      </c>
      <c r="AA7" s="33">
        <f>Actual!AC234</f>
        <v>0</v>
      </c>
      <c r="AB7" s="33">
        <f>Actual!AD234</f>
        <v>0</v>
      </c>
      <c r="AC7" s="33">
        <f>Actual!AE234</f>
        <v>0</v>
      </c>
      <c r="AD7" s="33">
        <f>Actual!AF234</f>
        <v>0</v>
      </c>
      <c r="AE7" s="33">
        <f>Actual!AG234</f>
        <v>0</v>
      </c>
      <c r="AF7" s="33">
        <f>Actual!AH234</f>
        <v>0</v>
      </c>
      <c r="AG7" s="33">
        <f>Actual!AI234</f>
        <v>0</v>
      </c>
      <c r="AH7" s="58">
        <f t="shared" si="6"/>
        <v>0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63">
        <f t="shared" si="7"/>
        <v>0</v>
      </c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70"/>
      <c r="CS7" s="75">
        <f t="shared" si="8"/>
        <v>0</v>
      </c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63">
        <f t="shared" si="9"/>
        <v>0</v>
      </c>
    </row>
    <row r="8" spans="2:129">
      <c r="B8" s="34" t="s">
        <v>686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45">
        <v>7300</v>
      </c>
      <c r="Q8" s="33"/>
      <c r="R8" s="33"/>
      <c r="S8" s="45">
        <v>7300</v>
      </c>
      <c r="T8" s="33"/>
      <c r="U8" s="33"/>
      <c r="V8" s="45">
        <v>7300</v>
      </c>
      <c r="W8" s="33"/>
      <c r="X8" s="33"/>
      <c r="Y8" s="45">
        <v>7300</v>
      </c>
      <c r="Z8" s="33"/>
      <c r="AA8" s="45">
        <v>7300</v>
      </c>
      <c r="AB8" s="33"/>
      <c r="AC8" s="33"/>
      <c r="AD8" s="45">
        <v>7300</v>
      </c>
      <c r="AE8" s="33"/>
      <c r="AF8" s="33"/>
      <c r="AG8" s="33"/>
      <c r="AH8" s="58">
        <f t="shared" si="6"/>
        <v>43800</v>
      </c>
      <c r="AI8" s="33"/>
      <c r="AJ8" s="33"/>
      <c r="AK8" s="33"/>
      <c r="AL8" s="33"/>
      <c r="AM8" s="33"/>
      <c r="AN8" s="33"/>
      <c r="AO8" s="33"/>
      <c r="AP8" s="33"/>
      <c r="AQ8" s="33"/>
      <c r="AR8" s="45">
        <v>7300</v>
      </c>
      <c r="AS8" s="33"/>
      <c r="AT8" s="33"/>
      <c r="AU8" s="45">
        <v>7300</v>
      </c>
      <c r="AV8" s="33"/>
      <c r="AW8" s="33"/>
      <c r="AX8" s="45">
        <v>7300</v>
      </c>
      <c r="AY8" s="33"/>
      <c r="AZ8" s="33"/>
      <c r="BA8" s="45">
        <v>7300</v>
      </c>
      <c r="BB8" s="33"/>
      <c r="BC8" s="33"/>
      <c r="BD8" s="45">
        <v>7300</v>
      </c>
      <c r="BE8" s="33"/>
      <c r="BF8" s="33"/>
      <c r="BG8" s="45">
        <v>7300</v>
      </c>
      <c r="BH8" s="33"/>
      <c r="BI8" s="33"/>
      <c r="BJ8" s="33"/>
      <c r="BK8" s="33"/>
      <c r="BL8" s="33"/>
      <c r="BM8" s="63">
        <f t="shared" si="7"/>
        <v>43800</v>
      </c>
      <c r="BN8" s="33"/>
      <c r="BO8" s="33"/>
      <c r="BP8" s="33"/>
      <c r="BQ8" s="33"/>
      <c r="BR8" s="33"/>
      <c r="BS8" s="33"/>
      <c r="BT8" s="33"/>
      <c r="BX8" s="33"/>
      <c r="BY8" s="45">
        <v>7300</v>
      </c>
      <c r="BZ8" s="33"/>
      <c r="CA8" s="45">
        <v>7300</v>
      </c>
      <c r="CB8" s="33"/>
      <c r="CC8" s="45">
        <v>7300</v>
      </c>
      <c r="CD8" s="33"/>
      <c r="CE8" s="45">
        <v>7300</v>
      </c>
      <c r="CF8" s="33"/>
      <c r="CG8" s="45">
        <v>7300</v>
      </c>
      <c r="CH8" s="33"/>
      <c r="CI8" s="45">
        <v>7300</v>
      </c>
      <c r="CJ8" s="33"/>
      <c r="CK8" s="33"/>
      <c r="CL8" s="33"/>
      <c r="CM8" s="33"/>
      <c r="CN8" s="33"/>
      <c r="CO8" s="33"/>
      <c r="CP8" s="33"/>
      <c r="CQ8" s="33"/>
      <c r="CR8" s="70"/>
      <c r="CS8" s="75">
        <f t="shared" si="8"/>
        <v>43800</v>
      </c>
      <c r="CT8" s="33"/>
      <c r="CU8" s="33"/>
      <c r="CV8" s="33"/>
      <c r="CW8" s="33"/>
      <c r="CX8" s="33"/>
      <c r="CY8" s="33"/>
      <c r="CZ8" s="33"/>
      <c r="DA8" s="45">
        <v>7300</v>
      </c>
      <c r="DB8" s="33"/>
      <c r="DC8" s="45">
        <v>7300</v>
      </c>
      <c r="DD8" s="33"/>
      <c r="DE8" s="45">
        <v>7300</v>
      </c>
      <c r="DF8" s="33"/>
      <c r="DG8" s="45">
        <v>7300</v>
      </c>
      <c r="DH8" s="33"/>
      <c r="DI8" s="45">
        <v>7300</v>
      </c>
      <c r="DJ8" s="33"/>
      <c r="DK8" s="45">
        <v>7300</v>
      </c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63">
        <f t="shared" si="9"/>
        <v>43800</v>
      </c>
    </row>
    <row r="9" spans="2:129" s="29" customFormat="1">
      <c r="B9" s="35" t="s">
        <v>687</v>
      </c>
      <c r="C9" s="36"/>
      <c r="D9" s="36"/>
      <c r="E9" s="36"/>
      <c r="F9" s="36"/>
      <c r="G9" s="36"/>
      <c r="H9" s="36"/>
      <c r="I9" s="36"/>
      <c r="J9" s="36"/>
      <c r="K9" s="46">
        <f>Actual!M276</f>
        <v>0</v>
      </c>
      <c r="L9" s="46">
        <f>Actual!N276</f>
        <v>0</v>
      </c>
      <c r="M9" s="46">
        <f>Actual!O276</f>
        <v>0</v>
      </c>
      <c r="N9" s="36"/>
      <c r="O9" s="46" t="e">
        <f>Actual!#REF!</f>
        <v>#REF!</v>
      </c>
      <c r="P9" s="46">
        <f>Actual!R276</f>
        <v>0</v>
      </c>
      <c r="Q9" s="48"/>
      <c r="R9" s="46">
        <f>Actual!T276</f>
        <v>0</v>
      </c>
      <c r="S9" s="46">
        <f>Actual!U276</f>
        <v>0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59" t="e">
        <f t="shared" si="6"/>
        <v>#REF!</v>
      </c>
      <c r="AI9" s="36"/>
      <c r="AJ9" s="36"/>
      <c r="AK9" s="36"/>
      <c r="AL9" s="36"/>
      <c r="AM9" s="36"/>
      <c r="AN9" s="36"/>
      <c r="AO9" s="36"/>
      <c r="AP9" s="36"/>
      <c r="AQ9" s="36"/>
      <c r="AR9" s="46">
        <v>7300</v>
      </c>
      <c r="AS9" s="36"/>
      <c r="AT9" s="36"/>
      <c r="AU9" s="46">
        <v>7300</v>
      </c>
      <c r="AV9" s="36"/>
      <c r="AW9" s="36"/>
      <c r="AX9" s="46">
        <v>7300</v>
      </c>
      <c r="AY9" s="36"/>
      <c r="AZ9" s="36"/>
      <c r="BA9" s="46">
        <v>7300</v>
      </c>
      <c r="BB9" s="36"/>
      <c r="BC9" s="36"/>
      <c r="BD9" s="46">
        <v>7300</v>
      </c>
      <c r="BE9" s="36"/>
      <c r="BF9" s="36"/>
      <c r="BG9" s="46">
        <v>7300</v>
      </c>
      <c r="BH9" s="36"/>
      <c r="BI9" s="36"/>
      <c r="BJ9" s="36"/>
      <c r="BK9" s="36"/>
      <c r="BL9" s="36"/>
      <c r="BM9" s="64">
        <f t="shared" si="7"/>
        <v>43800</v>
      </c>
      <c r="BN9" s="36"/>
      <c r="BO9" s="36"/>
      <c r="BP9" s="36"/>
      <c r="BQ9" s="36"/>
      <c r="BR9" s="36"/>
      <c r="BS9" s="36"/>
      <c r="BT9" s="36"/>
      <c r="BX9" s="36"/>
      <c r="BY9" s="46">
        <v>7300</v>
      </c>
      <c r="BZ9" s="36"/>
      <c r="CA9" s="46">
        <v>7300</v>
      </c>
      <c r="CB9" s="36"/>
      <c r="CC9" s="46">
        <v>7300</v>
      </c>
      <c r="CD9" s="36"/>
      <c r="CE9" s="46">
        <v>7300</v>
      </c>
      <c r="CF9" s="36"/>
      <c r="CG9" s="46">
        <v>7300</v>
      </c>
      <c r="CH9" s="36"/>
      <c r="CI9" s="46">
        <v>7300</v>
      </c>
      <c r="CJ9" s="36"/>
      <c r="CK9" s="36"/>
      <c r="CL9" s="36"/>
      <c r="CM9" s="36"/>
      <c r="CN9" s="36"/>
      <c r="CO9" s="36"/>
      <c r="CP9" s="36"/>
      <c r="CQ9" s="36"/>
      <c r="CR9" s="71"/>
      <c r="CS9" s="76">
        <f t="shared" si="8"/>
        <v>43800</v>
      </c>
      <c r="CT9" s="36"/>
      <c r="CU9" s="36"/>
      <c r="CV9" s="36"/>
      <c r="CW9" s="36"/>
      <c r="CX9" s="36"/>
      <c r="CY9" s="36"/>
      <c r="CZ9" s="36"/>
      <c r="DA9" s="46">
        <v>7300</v>
      </c>
      <c r="DB9" s="36"/>
      <c r="DC9" s="46">
        <v>7300</v>
      </c>
      <c r="DD9" s="36"/>
      <c r="DE9" s="46">
        <v>7300</v>
      </c>
      <c r="DF9" s="36"/>
      <c r="DG9" s="46">
        <v>7300</v>
      </c>
      <c r="DH9" s="36"/>
      <c r="DI9" s="46">
        <v>7300</v>
      </c>
      <c r="DJ9" s="36"/>
      <c r="DK9" s="46">
        <v>7300</v>
      </c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64">
        <f t="shared" si="9"/>
        <v>43800</v>
      </c>
    </row>
    <row r="10" spans="2:129">
      <c r="B10" s="34" t="s">
        <v>688</v>
      </c>
      <c r="C10" s="37">
        <v>7000</v>
      </c>
      <c r="D10" s="37">
        <v>7000</v>
      </c>
      <c r="E10" s="37">
        <v>7000</v>
      </c>
      <c r="F10" s="37">
        <v>5500</v>
      </c>
      <c r="G10" s="37">
        <v>6000</v>
      </c>
      <c r="H10" s="37">
        <v>6000</v>
      </c>
      <c r="I10" s="37">
        <v>6000</v>
      </c>
      <c r="J10" s="37">
        <v>5000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58">
        <f t="shared" si="6"/>
        <v>49500</v>
      </c>
      <c r="AI10" s="60">
        <v>7000</v>
      </c>
      <c r="AJ10" s="60">
        <v>7000</v>
      </c>
      <c r="AK10" s="60">
        <v>7000</v>
      </c>
      <c r="AL10" s="60">
        <v>5500</v>
      </c>
      <c r="AM10" s="60">
        <v>6000</v>
      </c>
      <c r="AN10" s="60">
        <v>6000</v>
      </c>
      <c r="AO10" s="60">
        <v>6000</v>
      </c>
      <c r="AP10" s="60">
        <v>5000</v>
      </c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63">
        <f t="shared" si="7"/>
        <v>49500</v>
      </c>
      <c r="BN10" s="60">
        <v>7000</v>
      </c>
      <c r="BO10" s="60">
        <v>7000</v>
      </c>
      <c r="BP10" s="60">
        <v>7000</v>
      </c>
      <c r="BQ10" s="60">
        <v>5500</v>
      </c>
      <c r="BR10" s="60">
        <v>6000</v>
      </c>
      <c r="BS10" s="60">
        <v>6000</v>
      </c>
      <c r="BT10" s="60">
        <v>6000</v>
      </c>
      <c r="BU10" s="60">
        <v>5000</v>
      </c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70"/>
      <c r="CS10" s="75">
        <f t="shared" si="8"/>
        <v>49500</v>
      </c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60">
        <v>7000</v>
      </c>
      <c r="DQ10" s="60">
        <v>7000</v>
      </c>
      <c r="DR10" s="60">
        <v>7000</v>
      </c>
      <c r="DS10" s="60">
        <v>5500</v>
      </c>
      <c r="DT10" s="60">
        <v>6000</v>
      </c>
      <c r="DU10" s="60">
        <v>6000</v>
      </c>
      <c r="DV10" s="60">
        <v>6000</v>
      </c>
      <c r="DW10" s="60">
        <v>5000</v>
      </c>
      <c r="DX10" s="51"/>
      <c r="DY10" s="63">
        <f>SUM(DB10:DX10)</f>
        <v>49500</v>
      </c>
    </row>
    <row r="11" spans="2:129" s="29" customFormat="1">
      <c r="B11" s="35" t="s">
        <v>689</v>
      </c>
      <c r="C11" s="36"/>
      <c r="D11" s="38">
        <v>13941.855</v>
      </c>
      <c r="E11" s="38">
        <v>6803.1570000000002</v>
      </c>
      <c r="F11" s="38">
        <v>4907.6450000000004</v>
      </c>
      <c r="G11" s="38">
        <v>13039.826999999999</v>
      </c>
      <c r="H11" s="38">
        <v>10804.8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59">
        <f t="shared" si="6"/>
        <v>49497.284</v>
      </c>
      <c r="AI11" s="61">
        <v>7000</v>
      </c>
      <c r="AJ11" s="61">
        <v>7000</v>
      </c>
      <c r="AK11" s="61">
        <v>7000</v>
      </c>
      <c r="AL11" s="61">
        <v>5500</v>
      </c>
      <c r="AM11" s="61">
        <v>6000</v>
      </c>
      <c r="AN11" s="61">
        <v>6000</v>
      </c>
      <c r="AO11" s="61">
        <v>6000</v>
      </c>
      <c r="AP11" s="61">
        <v>5000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64">
        <f t="shared" si="7"/>
        <v>49500</v>
      </c>
      <c r="BN11" s="61">
        <v>7000</v>
      </c>
      <c r="BO11" s="61">
        <v>7000</v>
      </c>
      <c r="BP11" s="61">
        <v>7000</v>
      </c>
      <c r="BQ11" s="61">
        <v>5500</v>
      </c>
      <c r="BR11" s="61">
        <v>6000</v>
      </c>
      <c r="BS11" s="61">
        <v>6000</v>
      </c>
      <c r="BT11" s="61">
        <v>6000</v>
      </c>
      <c r="BU11" s="61">
        <v>5000</v>
      </c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71"/>
      <c r="CS11" s="76">
        <f t="shared" si="8"/>
        <v>49500</v>
      </c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61">
        <v>7000</v>
      </c>
      <c r="DQ11" s="61">
        <v>7000</v>
      </c>
      <c r="DR11" s="61">
        <v>7000</v>
      </c>
      <c r="DS11" s="61">
        <v>5500</v>
      </c>
      <c r="DT11" s="61">
        <v>6000</v>
      </c>
      <c r="DU11" s="61">
        <v>6000</v>
      </c>
      <c r="DV11" s="61">
        <v>6000</v>
      </c>
      <c r="DW11" s="61">
        <v>5000</v>
      </c>
      <c r="DX11" s="48"/>
      <c r="DY11" s="64">
        <f>SUM(DB11:DX11)</f>
        <v>49500</v>
      </c>
    </row>
    <row r="12" spans="2:129">
      <c r="B12" s="34" t="s">
        <v>690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AC12" s="49">
        <v>5500</v>
      </c>
      <c r="AD12" s="49">
        <v>7000</v>
      </c>
      <c r="AE12" s="50"/>
      <c r="AF12" s="49">
        <v>7000</v>
      </c>
      <c r="AG12" s="49">
        <v>6000</v>
      </c>
      <c r="AH12" s="58">
        <f t="shared" si="6"/>
        <v>25500</v>
      </c>
      <c r="AI12" s="49">
        <v>6000</v>
      </c>
      <c r="AJ12" s="49">
        <v>5500</v>
      </c>
      <c r="AK12" s="51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63">
        <f t="shared" si="7"/>
        <v>11500</v>
      </c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51"/>
      <c r="CG12" s="51"/>
      <c r="CH12" s="66">
        <v>7000</v>
      </c>
      <c r="CJ12" s="66">
        <v>7000</v>
      </c>
      <c r="CL12" s="66">
        <v>5500</v>
      </c>
      <c r="CN12" s="66">
        <v>6000</v>
      </c>
      <c r="CP12" s="66">
        <v>6000</v>
      </c>
      <c r="CR12" s="66">
        <v>5500</v>
      </c>
      <c r="CS12" s="75">
        <f t="shared" si="8"/>
        <v>37000</v>
      </c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52">
        <v>7000</v>
      </c>
      <c r="DM12" s="52">
        <v>7000</v>
      </c>
      <c r="DN12" s="52">
        <v>5500</v>
      </c>
      <c r="DO12" s="52">
        <v>6000</v>
      </c>
      <c r="DP12" s="52">
        <v>6000</v>
      </c>
      <c r="DQ12" s="52">
        <v>5500</v>
      </c>
      <c r="DR12" s="33"/>
      <c r="DS12" s="33"/>
      <c r="DT12" s="33"/>
      <c r="DU12" s="33"/>
      <c r="DV12" s="33"/>
      <c r="DW12" s="33"/>
      <c r="DX12" s="33"/>
      <c r="DY12" s="63">
        <f t="shared" si="9"/>
        <v>37000</v>
      </c>
    </row>
    <row r="13" spans="2:129" s="29" customFormat="1" ht="15.6">
      <c r="B13" s="35" t="s">
        <v>691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51"/>
      <c r="AA13" s="51"/>
      <c r="AB13" s="51"/>
      <c r="AC13" s="52">
        <f>Actual!AE278</f>
        <v>0</v>
      </c>
      <c r="AD13" s="52">
        <f>Actual!AF278</f>
        <v>0</v>
      </c>
      <c r="AF13" s="52">
        <v>10049.921</v>
      </c>
      <c r="AG13" s="52">
        <v>7000</v>
      </c>
      <c r="AH13" s="59">
        <f t="shared" si="6"/>
        <v>17049.920999999998</v>
      </c>
      <c r="AI13" s="52">
        <v>7000</v>
      </c>
      <c r="AJ13" s="36"/>
      <c r="AK13" s="51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64">
        <f t="shared" si="7"/>
        <v>7000</v>
      </c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67"/>
      <c r="CG13" s="67"/>
      <c r="CH13" s="66">
        <v>7000</v>
      </c>
      <c r="CI13"/>
      <c r="CJ13" s="66">
        <v>7000</v>
      </c>
      <c r="CK13"/>
      <c r="CL13" s="66">
        <v>5500</v>
      </c>
      <c r="CM13"/>
      <c r="CN13" s="66">
        <v>6000</v>
      </c>
      <c r="CO13"/>
      <c r="CP13" s="66">
        <v>6000</v>
      </c>
      <c r="CQ13"/>
      <c r="CR13" s="66">
        <v>5500</v>
      </c>
      <c r="CS13" s="76">
        <f t="shared" si="8"/>
        <v>37000</v>
      </c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78">
        <v>7000</v>
      </c>
      <c r="DM13" s="78">
        <v>7000</v>
      </c>
      <c r="DN13" s="78">
        <v>5500</v>
      </c>
      <c r="DO13" s="78">
        <v>6000</v>
      </c>
      <c r="DP13" s="78">
        <v>6000</v>
      </c>
      <c r="DQ13" s="78">
        <v>5500</v>
      </c>
      <c r="DR13" s="36"/>
      <c r="DS13" s="36"/>
      <c r="DT13" s="36"/>
      <c r="DU13" s="36"/>
      <c r="DV13" s="36"/>
      <c r="DW13" s="36"/>
      <c r="DX13" s="36"/>
      <c r="DY13" s="64">
        <f t="shared" si="9"/>
        <v>37000</v>
      </c>
    </row>
    <row r="14" spans="2:129">
      <c r="B14" s="16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62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62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72"/>
      <c r="CS14" s="77">
        <f t="shared" si="8"/>
        <v>0</v>
      </c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77">
        <f t="shared" si="9"/>
        <v>0</v>
      </c>
    </row>
    <row r="15" spans="2:129"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</row>
    <row r="16" spans="2:129">
      <c r="C16" t="s">
        <v>6</v>
      </c>
      <c r="D16" t="s">
        <v>32</v>
      </c>
    </row>
    <row r="17" spans="2:16">
      <c r="B17" t="s">
        <v>321</v>
      </c>
      <c r="C17" s="42"/>
      <c r="D17" s="42"/>
    </row>
    <row r="18" spans="2:16">
      <c r="B18" t="s">
        <v>692</v>
      </c>
      <c r="C18" s="43"/>
      <c r="D18" s="43"/>
    </row>
    <row r="19" spans="2:16">
      <c r="B19" t="s">
        <v>693</v>
      </c>
      <c r="C19" s="44"/>
      <c r="D19" s="44"/>
      <c r="P19" s="47"/>
    </row>
  </sheetData>
  <mergeCells count="7">
    <mergeCell ref="B2:B3"/>
    <mergeCell ref="CS2:CS3"/>
    <mergeCell ref="DY2:DY3"/>
    <mergeCell ref="C2:AG2"/>
    <mergeCell ref="AI2:BL2"/>
    <mergeCell ref="BN2:CQ2"/>
    <mergeCell ref="CT2:DW2"/>
  </mergeCells>
  <conditionalFormatting sqref="C4:CR4">
    <cfRule type="cellIs" dxfId="1" priority="1" operator="lessThan">
      <formula>50000</formula>
    </cfRule>
  </conditionalFormatting>
  <conditionalFormatting sqref="CT4:DX4">
    <cfRule type="cellIs" dxfId="0" priority="2" operator="lessThan">
      <formula>50000</formula>
    </cfRule>
  </conditionalFormatting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3399"/>
  </sheetPr>
  <dimension ref="B2:N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B10" sqref="B10"/>
    </sheetView>
  </sheetViews>
  <sheetFormatPr defaultColWidth="9" defaultRowHeight="14.4"/>
  <cols>
    <col min="5" max="5" width="9" hidden="1" customWidth="1"/>
    <col min="9" max="9" width="9" hidden="1" customWidth="1"/>
    <col min="11" max="11" width="11.33203125" customWidth="1"/>
    <col min="12" max="12" width="10.6640625" customWidth="1"/>
    <col min="13" max="13" width="9" hidden="1" customWidth="1"/>
    <col min="14" max="14" width="11.33203125" customWidth="1"/>
  </cols>
  <sheetData>
    <row r="2" spans="2:14">
      <c r="B2" s="1113" t="s">
        <v>261</v>
      </c>
      <c r="C2" s="1115" t="s">
        <v>694</v>
      </c>
      <c r="D2" s="1116"/>
      <c r="E2" s="1116"/>
      <c r="F2" s="1117"/>
      <c r="G2" s="1121" t="s">
        <v>695</v>
      </c>
      <c r="H2" s="1122"/>
      <c r="I2" s="1122"/>
      <c r="J2" s="1123"/>
      <c r="K2" s="1121" t="s">
        <v>696</v>
      </c>
      <c r="L2" s="1122"/>
      <c r="M2" s="1122"/>
      <c r="N2" s="1123"/>
    </row>
    <row r="3" spans="2:14" ht="18.75" customHeight="1">
      <c r="B3" s="1113"/>
      <c r="C3" s="1118"/>
      <c r="D3" s="1119"/>
      <c r="E3" s="1119"/>
      <c r="F3" s="1120"/>
      <c r="G3" s="1124"/>
      <c r="H3" s="1125"/>
      <c r="I3" s="1125"/>
      <c r="J3" s="1126"/>
      <c r="K3" s="1124"/>
      <c r="L3" s="1125"/>
      <c r="M3" s="1125"/>
      <c r="N3" s="1126"/>
    </row>
    <row r="4" spans="2:14" ht="26.4">
      <c r="B4" s="1114"/>
      <c r="C4" s="1" t="s">
        <v>697</v>
      </c>
      <c r="D4" s="1" t="s">
        <v>698</v>
      </c>
      <c r="E4" s="1"/>
      <c r="F4" s="1" t="s">
        <v>699</v>
      </c>
      <c r="G4" s="1" t="s">
        <v>697</v>
      </c>
      <c r="H4" s="1" t="s">
        <v>698</v>
      </c>
      <c r="I4" s="1"/>
      <c r="J4" s="1" t="s">
        <v>699</v>
      </c>
      <c r="K4" s="1" t="s">
        <v>697</v>
      </c>
      <c r="L4" s="1" t="s">
        <v>698</v>
      </c>
      <c r="M4" s="1"/>
      <c r="N4" s="1" t="s">
        <v>699</v>
      </c>
    </row>
    <row r="5" spans="2:14">
      <c r="B5" s="2"/>
      <c r="C5" s="3"/>
      <c r="D5" s="3"/>
      <c r="E5" s="3"/>
      <c r="F5" s="3"/>
      <c r="G5" s="4"/>
      <c r="H5" s="4"/>
      <c r="I5" s="4"/>
      <c r="J5" s="4"/>
      <c r="K5" s="18">
        <v>0</v>
      </c>
      <c r="L5" s="19">
        <v>0</v>
      </c>
      <c r="M5" s="4"/>
      <c r="N5" s="4"/>
    </row>
    <row r="6" spans="2:14">
      <c r="B6" s="5">
        <v>1</v>
      </c>
      <c r="C6" s="6">
        <v>0</v>
      </c>
      <c r="D6" s="6">
        <v>0</v>
      </c>
      <c r="E6" s="6"/>
      <c r="F6" s="6">
        <f>D6+C6</f>
        <v>0</v>
      </c>
      <c r="G6" s="7">
        <v>0</v>
      </c>
      <c r="H6" s="7">
        <v>0</v>
      </c>
      <c r="I6" s="20"/>
      <c r="J6" s="20">
        <f>H6+G6</f>
        <v>0</v>
      </c>
      <c r="K6" s="20">
        <f>K5-G6</f>
        <v>0</v>
      </c>
      <c r="L6" s="20">
        <f>L5-H6</f>
        <v>0</v>
      </c>
      <c r="M6" s="20"/>
      <c r="N6" s="21">
        <f>L6+K6</f>
        <v>0</v>
      </c>
    </row>
    <row r="7" spans="2:14">
      <c r="B7" s="8">
        <v>2</v>
      </c>
      <c r="C7" s="6">
        <v>0</v>
      </c>
      <c r="D7" s="6">
        <v>0</v>
      </c>
      <c r="E7" s="9"/>
      <c r="F7" s="6">
        <f t="shared" ref="F7:F35" si="0">D7+C7</f>
        <v>0</v>
      </c>
      <c r="G7" s="7">
        <v>0</v>
      </c>
      <c r="H7" s="7">
        <v>0</v>
      </c>
      <c r="I7" s="22"/>
      <c r="J7" s="20">
        <f t="shared" ref="J7:J36" si="1">H7+G7</f>
        <v>0</v>
      </c>
      <c r="K7" s="20">
        <f>K6-G7</f>
        <v>0</v>
      </c>
      <c r="L7" s="20">
        <f>L6-H7</f>
        <v>0</v>
      </c>
      <c r="M7" s="22"/>
      <c r="N7" s="21">
        <f t="shared" ref="N7:N29" si="2">L7+K7</f>
        <v>0</v>
      </c>
    </row>
    <row r="8" spans="2:14">
      <c r="B8" s="8">
        <v>3</v>
      </c>
      <c r="C8" s="6">
        <v>0</v>
      </c>
      <c r="D8" s="6">
        <v>0</v>
      </c>
      <c r="E8" s="10"/>
      <c r="F8" s="6">
        <f t="shared" si="0"/>
        <v>0</v>
      </c>
      <c r="G8" s="7">
        <v>0</v>
      </c>
      <c r="H8" s="7">
        <v>0</v>
      </c>
      <c r="I8" s="23"/>
      <c r="J8" s="20">
        <f t="shared" si="1"/>
        <v>0</v>
      </c>
      <c r="K8" s="20">
        <f t="shared" ref="K8:K36" si="3">K7-G8</f>
        <v>0</v>
      </c>
      <c r="L8" s="20">
        <f>L7-H8</f>
        <v>0</v>
      </c>
      <c r="M8" s="23"/>
      <c r="N8" s="21">
        <f t="shared" si="2"/>
        <v>0</v>
      </c>
    </row>
    <row r="9" spans="2:14">
      <c r="B9" s="8">
        <v>4</v>
      </c>
      <c r="C9" s="6">
        <v>0</v>
      </c>
      <c r="D9" s="6">
        <v>0</v>
      </c>
      <c r="E9" s="10"/>
      <c r="F9" s="6">
        <f t="shared" si="0"/>
        <v>0</v>
      </c>
      <c r="G9" s="7">
        <v>0</v>
      </c>
      <c r="H9" s="7">
        <v>0</v>
      </c>
      <c r="I9" s="23"/>
      <c r="J9" s="20">
        <f t="shared" si="1"/>
        <v>0</v>
      </c>
      <c r="K9" s="20">
        <f t="shared" si="3"/>
        <v>0</v>
      </c>
      <c r="L9" s="20">
        <f t="shared" ref="L9:L36" si="4">L8-H9</f>
        <v>0</v>
      </c>
      <c r="M9" s="23"/>
      <c r="N9" s="21">
        <f t="shared" si="2"/>
        <v>0</v>
      </c>
    </row>
    <row r="10" spans="2:14">
      <c r="B10" s="8">
        <v>5</v>
      </c>
      <c r="C10" s="6">
        <v>0</v>
      </c>
      <c r="D10" s="6">
        <v>0</v>
      </c>
      <c r="E10" s="9"/>
      <c r="F10" s="6">
        <f t="shared" si="0"/>
        <v>0</v>
      </c>
      <c r="G10" s="7">
        <v>0</v>
      </c>
      <c r="H10" s="7">
        <v>0</v>
      </c>
      <c r="I10" s="22"/>
      <c r="J10" s="20">
        <f t="shared" si="1"/>
        <v>0</v>
      </c>
      <c r="K10" s="20">
        <f t="shared" si="3"/>
        <v>0</v>
      </c>
      <c r="L10" s="20">
        <f t="shared" si="4"/>
        <v>0</v>
      </c>
      <c r="M10" s="22"/>
      <c r="N10" s="21">
        <f t="shared" si="2"/>
        <v>0</v>
      </c>
    </row>
    <row r="11" spans="2:14">
      <c r="B11" s="8">
        <v>6</v>
      </c>
      <c r="C11" s="6">
        <v>0</v>
      </c>
      <c r="D11" s="6">
        <v>0</v>
      </c>
      <c r="E11" s="11"/>
      <c r="F11" s="6">
        <f t="shared" si="0"/>
        <v>0</v>
      </c>
      <c r="G11" s="7">
        <v>0</v>
      </c>
      <c r="H11" s="7">
        <v>0</v>
      </c>
      <c r="I11" s="24"/>
      <c r="J11" s="20">
        <f t="shared" si="1"/>
        <v>0</v>
      </c>
      <c r="K11" s="20">
        <f t="shared" si="3"/>
        <v>0</v>
      </c>
      <c r="L11" s="20">
        <f t="shared" si="4"/>
        <v>0</v>
      </c>
      <c r="M11" s="24"/>
      <c r="N11" s="21">
        <f t="shared" si="2"/>
        <v>0</v>
      </c>
    </row>
    <row r="12" spans="2:14">
      <c r="B12" s="8">
        <v>7</v>
      </c>
      <c r="C12" s="6">
        <v>0</v>
      </c>
      <c r="D12" s="6">
        <v>0</v>
      </c>
      <c r="E12" s="11"/>
      <c r="F12" s="6">
        <f t="shared" si="0"/>
        <v>0</v>
      </c>
      <c r="G12" s="7">
        <v>0</v>
      </c>
      <c r="H12" s="7">
        <v>0</v>
      </c>
      <c r="I12" s="24"/>
      <c r="J12" s="20">
        <f t="shared" si="1"/>
        <v>0</v>
      </c>
      <c r="K12" s="20">
        <f t="shared" si="3"/>
        <v>0</v>
      </c>
      <c r="L12" s="20">
        <f t="shared" si="4"/>
        <v>0</v>
      </c>
      <c r="M12" s="24"/>
      <c r="N12" s="21">
        <f t="shared" si="2"/>
        <v>0</v>
      </c>
    </row>
    <row r="13" spans="2:14">
      <c r="B13" s="8">
        <v>8</v>
      </c>
      <c r="C13" s="6">
        <v>0</v>
      </c>
      <c r="D13" s="6">
        <v>0</v>
      </c>
      <c r="E13" s="9"/>
      <c r="F13" s="6">
        <f t="shared" si="0"/>
        <v>0</v>
      </c>
      <c r="G13" s="7">
        <v>0</v>
      </c>
      <c r="H13" s="7">
        <v>0</v>
      </c>
      <c r="I13" s="22"/>
      <c r="J13" s="20">
        <f t="shared" si="1"/>
        <v>0</v>
      </c>
      <c r="K13" s="20">
        <f t="shared" si="3"/>
        <v>0</v>
      </c>
      <c r="L13" s="20">
        <f t="shared" si="4"/>
        <v>0</v>
      </c>
      <c r="M13" s="22"/>
      <c r="N13" s="21">
        <f t="shared" si="2"/>
        <v>0</v>
      </c>
    </row>
    <row r="14" spans="2:14">
      <c r="B14" s="8">
        <v>9</v>
      </c>
      <c r="C14" s="6">
        <v>0</v>
      </c>
      <c r="D14" s="6">
        <v>0</v>
      </c>
      <c r="E14" s="9"/>
      <c r="F14" s="6">
        <f t="shared" si="0"/>
        <v>0</v>
      </c>
      <c r="G14" s="7">
        <v>0</v>
      </c>
      <c r="H14" s="7">
        <v>0</v>
      </c>
      <c r="I14" s="22"/>
      <c r="J14" s="20">
        <f t="shared" si="1"/>
        <v>0</v>
      </c>
      <c r="K14" s="20">
        <f t="shared" si="3"/>
        <v>0</v>
      </c>
      <c r="L14" s="20">
        <f t="shared" si="4"/>
        <v>0</v>
      </c>
      <c r="M14" s="22"/>
      <c r="N14" s="21">
        <f t="shared" si="2"/>
        <v>0</v>
      </c>
    </row>
    <row r="15" spans="2:14">
      <c r="B15" s="8">
        <v>10</v>
      </c>
      <c r="C15" s="6">
        <v>0</v>
      </c>
      <c r="D15" s="6">
        <v>0</v>
      </c>
      <c r="E15" s="9"/>
      <c r="F15" s="6">
        <f t="shared" si="0"/>
        <v>0</v>
      </c>
      <c r="G15" s="7">
        <v>0</v>
      </c>
      <c r="H15" s="7">
        <v>0</v>
      </c>
      <c r="I15" s="22"/>
      <c r="J15" s="20">
        <f t="shared" si="1"/>
        <v>0</v>
      </c>
      <c r="K15" s="20">
        <f t="shared" si="3"/>
        <v>0</v>
      </c>
      <c r="L15" s="20">
        <f t="shared" si="4"/>
        <v>0</v>
      </c>
      <c r="M15" s="22"/>
      <c r="N15" s="21">
        <f t="shared" si="2"/>
        <v>0</v>
      </c>
    </row>
    <row r="16" spans="2:14">
      <c r="B16" s="8">
        <v>11</v>
      </c>
      <c r="C16" s="6">
        <v>0</v>
      </c>
      <c r="D16" s="6">
        <v>0</v>
      </c>
      <c r="E16" s="10"/>
      <c r="F16" s="6">
        <f t="shared" si="0"/>
        <v>0</v>
      </c>
      <c r="G16" s="7">
        <v>0</v>
      </c>
      <c r="H16" s="7">
        <v>0</v>
      </c>
      <c r="I16" s="23"/>
      <c r="J16" s="20">
        <f t="shared" si="1"/>
        <v>0</v>
      </c>
      <c r="K16" s="20">
        <f t="shared" si="3"/>
        <v>0</v>
      </c>
      <c r="L16" s="20">
        <f t="shared" si="4"/>
        <v>0</v>
      </c>
      <c r="M16" s="23"/>
      <c r="N16" s="21">
        <f t="shared" si="2"/>
        <v>0</v>
      </c>
    </row>
    <row r="17" spans="2:14">
      <c r="B17" s="8">
        <v>12</v>
      </c>
      <c r="C17" s="6">
        <v>0</v>
      </c>
      <c r="D17" s="6">
        <v>0</v>
      </c>
      <c r="E17" s="9"/>
      <c r="F17" s="6">
        <f t="shared" si="0"/>
        <v>0</v>
      </c>
      <c r="G17" s="7">
        <v>0</v>
      </c>
      <c r="H17" s="7">
        <v>0</v>
      </c>
      <c r="I17" s="22"/>
      <c r="J17" s="20">
        <f t="shared" si="1"/>
        <v>0</v>
      </c>
      <c r="K17" s="20">
        <f t="shared" si="3"/>
        <v>0</v>
      </c>
      <c r="L17" s="20">
        <f t="shared" si="4"/>
        <v>0</v>
      </c>
      <c r="M17" s="22"/>
      <c r="N17" s="21">
        <f t="shared" si="2"/>
        <v>0</v>
      </c>
    </row>
    <row r="18" spans="2:14">
      <c r="B18" s="8">
        <v>13</v>
      </c>
      <c r="C18" s="6">
        <v>0</v>
      </c>
      <c r="D18" s="6">
        <v>0</v>
      </c>
      <c r="E18" s="11"/>
      <c r="F18" s="6">
        <f t="shared" si="0"/>
        <v>0</v>
      </c>
      <c r="G18" s="7">
        <v>0</v>
      </c>
      <c r="H18" s="7">
        <v>0</v>
      </c>
      <c r="I18" s="24"/>
      <c r="J18" s="20">
        <f t="shared" si="1"/>
        <v>0</v>
      </c>
      <c r="K18" s="20">
        <f t="shared" si="3"/>
        <v>0</v>
      </c>
      <c r="L18" s="20">
        <f t="shared" si="4"/>
        <v>0</v>
      </c>
      <c r="M18" s="22"/>
      <c r="N18" s="21">
        <f t="shared" si="2"/>
        <v>0</v>
      </c>
    </row>
    <row r="19" spans="2:14">
      <c r="B19" s="8">
        <v>14</v>
      </c>
      <c r="C19" s="6">
        <v>0</v>
      </c>
      <c r="D19" s="6">
        <v>0</v>
      </c>
      <c r="E19" s="11"/>
      <c r="F19" s="6">
        <f t="shared" si="0"/>
        <v>0</v>
      </c>
      <c r="G19" s="7">
        <v>0</v>
      </c>
      <c r="H19" s="7">
        <v>0</v>
      </c>
      <c r="I19" s="24"/>
      <c r="J19" s="20">
        <f t="shared" si="1"/>
        <v>0</v>
      </c>
      <c r="K19" s="20">
        <f t="shared" si="3"/>
        <v>0</v>
      </c>
      <c r="L19" s="20">
        <f t="shared" si="4"/>
        <v>0</v>
      </c>
      <c r="M19" s="22"/>
      <c r="N19" s="21">
        <f t="shared" si="2"/>
        <v>0</v>
      </c>
    </row>
    <row r="20" spans="2:14">
      <c r="B20" s="8">
        <v>15</v>
      </c>
      <c r="C20" s="6">
        <v>0</v>
      </c>
      <c r="D20" s="6">
        <v>0</v>
      </c>
      <c r="E20" s="9"/>
      <c r="F20" s="6">
        <f t="shared" si="0"/>
        <v>0</v>
      </c>
      <c r="G20" s="7">
        <v>0</v>
      </c>
      <c r="H20" s="7">
        <v>0</v>
      </c>
      <c r="I20" s="22"/>
      <c r="J20" s="20">
        <f t="shared" si="1"/>
        <v>0</v>
      </c>
      <c r="K20" s="20">
        <f t="shared" si="3"/>
        <v>0</v>
      </c>
      <c r="L20" s="20">
        <f t="shared" si="4"/>
        <v>0</v>
      </c>
      <c r="M20" s="22"/>
      <c r="N20" s="21">
        <f t="shared" si="2"/>
        <v>0</v>
      </c>
    </row>
    <row r="21" spans="2:14">
      <c r="B21" s="8">
        <v>16</v>
      </c>
      <c r="C21" s="6">
        <v>0</v>
      </c>
      <c r="D21" s="6">
        <v>0</v>
      </c>
      <c r="E21" s="9"/>
      <c r="F21" s="6">
        <f t="shared" si="0"/>
        <v>0</v>
      </c>
      <c r="G21" s="7">
        <v>0</v>
      </c>
      <c r="H21" s="7">
        <v>0</v>
      </c>
      <c r="I21" s="22"/>
      <c r="J21" s="20">
        <f t="shared" si="1"/>
        <v>0</v>
      </c>
      <c r="K21" s="20">
        <f t="shared" si="3"/>
        <v>0</v>
      </c>
      <c r="L21" s="20">
        <f t="shared" si="4"/>
        <v>0</v>
      </c>
      <c r="M21" s="22"/>
      <c r="N21" s="21">
        <f t="shared" si="2"/>
        <v>0</v>
      </c>
    </row>
    <row r="22" spans="2:14">
      <c r="B22" s="8">
        <v>17</v>
      </c>
      <c r="C22" s="6">
        <v>0</v>
      </c>
      <c r="D22" s="6">
        <v>0</v>
      </c>
      <c r="E22" s="10"/>
      <c r="F22" s="6">
        <f t="shared" si="0"/>
        <v>0</v>
      </c>
      <c r="G22" s="7">
        <v>0</v>
      </c>
      <c r="H22" s="7">
        <v>0</v>
      </c>
      <c r="I22" s="23"/>
      <c r="J22" s="20">
        <f t="shared" si="1"/>
        <v>0</v>
      </c>
      <c r="K22" s="20">
        <f t="shared" si="3"/>
        <v>0</v>
      </c>
      <c r="L22" s="20">
        <f t="shared" si="4"/>
        <v>0</v>
      </c>
      <c r="M22" s="23"/>
      <c r="N22" s="21">
        <f t="shared" si="2"/>
        <v>0</v>
      </c>
    </row>
    <row r="23" spans="2:14">
      <c r="B23" s="8">
        <v>18</v>
      </c>
      <c r="C23" s="6">
        <v>0</v>
      </c>
      <c r="D23" s="6">
        <v>0</v>
      </c>
      <c r="E23" s="10"/>
      <c r="F23" s="6">
        <f t="shared" si="0"/>
        <v>0</v>
      </c>
      <c r="G23" s="7">
        <v>0</v>
      </c>
      <c r="H23" s="7">
        <v>0</v>
      </c>
      <c r="I23" s="23"/>
      <c r="J23" s="20">
        <f t="shared" si="1"/>
        <v>0</v>
      </c>
      <c r="K23" s="20">
        <f t="shared" si="3"/>
        <v>0</v>
      </c>
      <c r="L23" s="20">
        <f t="shared" si="4"/>
        <v>0</v>
      </c>
      <c r="M23" s="23"/>
      <c r="N23" s="21">
        <f t="shared" si="2"/>
        <v>0</v>
      </c>
    </row>
    <row r="24" spans="2:14">
      <c r="B24" s="8">
        <v>19</v>
      </c>
      <c r="C24" s="6">
        <v>0</v>
      </c>
      <c r="D24" s="6">
        <v>0</v>
      </c>
      <c r="E24" s="10"/>
      <c r="F24" s="6">
        <f t="shared" si="0"/>
        <v>0</v>
      </c>
      <c r="G24" s="7">
        <v>0</v>
      </c>
      <c r="H24" s="7">
        <v>0</v>
      </c>
      <c r="I24" s="23"/>
      <c r="J24" s="20">
        <f t="shared" si="1"/>
        <v>0</v>
      </c>
      <c r="K24" s="20">
        <f t="shared" si="3"/>
        <v>0</v>
      </c>
      <c r="L24" s="20">
        <f t="shared" si="4"/>
        <v>0</v>
      </c>
      <c r="M24" s="23"/>
      <c r="N24" s="21">
        <f t="shared" si="2"/>
        <v>0</v>
      </c>
    </row>
    <row r="25" spans="2:14">
      <c r="B25" s="8">
        <v>20</v>
      </c>
      <c r="C25" s="6">
        <v>0</v>
      </c>
      <c r="D25" s="6">
        <v>0</v>
      </c>
      <c r="E25" s="12"/>
      <c r="F25" s="6">
        <f t="shared" si="0"/>
        <v>0</v>
      </c>
      <c r="G25" s="7">
        <v>0</v>
      </c>
      <c r="H25" s="7">
        <v>0</v>
      </c>
      <c r="I25" s="25"/>
      <c r="J25" s="20">
        <f t="shared" si="1"/>
        <v>0</v>
      </c>
      <c r="K25" s="20">
        <f t="shared" si="3"/>
        <v>0</v>
      </c>
      <c r="L25" s="20">
        <f t="shared" si="4"/>
        <v>0</v>
      </c>
      <c r="M25" s="23"/>
      <c r="N25" s="21">
        <f t="shared" si="2"/>
        <v>0</v>
      </c>
    </row>
    <row r="26" spans="2:14">
      <c r="B26" s="8">
        <v>21</v>
      </c>
      <c r="C26" s="6">
        <v>0</v>
      </c>
      <c r="D26" s="6">
        <v>0</v>
      </c>
      <c r="E26" s="9"/>
      <c r="F26" s="6">
        <f t="shared" si="0"/>
        <v>0</v>
      </c>
      <c r="G26" s="7">
        <v>0</v>
      </c>
      <c r="H26" s="7">
        <v>0</v>
      </c>
      <c r="I26" s="24"/>
      <c r="J26" s="20">
        <f t="shared" si="1"/>
        <v>0</v>
      </c>
      <c r="K26" s="20">
        <f t="shared" si="3"/>
        <v>0</v>
      </c>
      <c r="L26" s="20">
        <f t="shared" si="4"/>
        <v>0</v>
      </c>
      <c r="M26" s="22"/>
      <c r="N26" s="21">
        <f t="shared" si="2"/>
        <v>0</v>
      </c>
    </row>
    <row r="27" spans="2:14">
      <c r="B27" s="8">
        <v>22</v>
      </c>
      <c r="C27" s="6">
        <v>0</v>
      </c>
      <c r="D27" s="6">
        <v>0</v>
      </c>
      <c r="E27" s="9"/>
      <c r="F27" s="6">
        <f t="shared" si="0"/>
        <v>0</v>
      </c>
      <c r="G27" s="7">
        <v>0</v>
      </c>
      <c r="H27" s="7">
        <v>0</v>
      </c>
      <c r="I27" s="22"/>
      <c r="J27" s="20">
        <f t="shared" si="1"/>
        <v>0</v>
      </c>
      <c r="K27" s="20">
        <f t="shared" si="3"/>
        <v>0</v>
      </c>
      <c r="L27" s="20">
        <f t="shared" si="4"/>
        <v>0</v>
      </c>
      <c r="M27" s="22"/>
      <c r="N27" s="21">
        <f t="shared" si="2"/>
        <v>0</v>
      </c>
    </row>
    <row r="28" spans="2:14">
      <c r="B28" s="8">
        <v>23</v>
      </c>
      <c r="C28" s="6">
        <v>0</v>
      </c>
      <c r="D28" s="6">
        <v>0</v>
      </c>
      <c r="E28" s="9"/>
      <c r="F28" s="6">
        <f t="shared" si="0"/>
        <v>0</v>
      </c>
      <c r="G28" s="7">
        <v>0</v>
      </c>
      <c r="H28" s="7">
        <v>0</v>
      </c>
      <c r="I28" s="22"/>
      <c r="J28" s="20">
        <f t="shared" si="1"/>
        <v>0</v>
      </c>
      <c r="K28" s="20">
        <f t="shared" si="3"/>
        <v>0</v>
      </c>
      <c r="L28" s="20">
        <f t="shared" si="4"/>
        <v>0</v>
      </c>
      <c r="M28" s="22"/>
      <c r="N28" s="21">
        <f t="shared" si="2"/>
        <v>0</v>
      </c>
    </row>
    <row r="29" spans="2:14">
      <c r="B29" s="8">
        <v>24</v>
      </c>
      <c r="C29" s="6">
        <v>0</v>
      </c>
      <c r="D29" s="6">
        <v>0</v>
      </c>
      <c r="E29" s="9"/>
      <c r="F29" s="6">
        <f t="shared" si="0"/>
        <v>0</v>
      </c>
      <c r="G29" s="7">
        <v>0</v>
      </c>
      <c r="H29" s="7">
        <v>0</v>
      </c>
      <c r="I29" s="22"/>
      <c r="J29" s="20">
        <f t="shared" si="1"/>
        <v>0</v>
      </c>
      <c r="K29" s="20">
        <f t="shared" si="3"/>
        <v>0</v>
      </c>
      <c r="L29" s="20">
        <f t="shared" si="4"/>
        <v>0</v>
      </c>
      <c r="M29" s="22"/>
      <c r="N29" s="21">
        <f t="shared" si="2"/>
        <v>0</v>
      </c>
    </row>
    <row r="30" spans="2:14">
      <c r="B30" s="8">
        <v>25</v>
      </c>
      <c r="C30" s="6">
        <v>0</v>
      </c>
      <c r="D30" s="6">
        <v>0</v>
      </c>
      <c r="E30" s="13"/>
      <c r="F30" s="6">
        <f t="shared" si="0"/>
        <v>0</v>
      </c>
      <c r="G30" s="7">
        <v>0</v>
      </c>
      <c r="H30" s="7">
        <v>0</v>
      </c>
      <c r="I30" s="13"/>
      <c r="J30" s="20">
        <f t="shared" si="1"/>
        <v>0</v>
      </c>
      <c r="K30" s="20">
        <f t="shared" si="3"/>
        <v>0</v>
      </c>
      <c r="L30" s="20">
        <f t="shared" si="4"/>
        <v>0</v>
      </c>
      <c r="M30" s="13"/>
      <c r="N30" s="26">
        <f t="shared" ref="N30:N36" si="5">K30+L30</f>
        <v>0</v>
      </c>
    </row>
    <row r="31" spans="2:14">
      <c r="B31" s="8">
        <v>26</v>
      </c>
      <c r="C31" s="6">
        <v>0</v>
      </c>
      <c r="D31" s="6">
        <v>0</v>
      </c>
      <c r="E31" s="13"/>
      <c r="F31" s="6">
        <f t="shared" si="0"/>
        <v>0</v>
      </c>
      <c r="G31" s="7">
        <v>0</v>
      </c>
      <c r="H31" s="7">
        <v>0</v>
      </c>
      <c r="I31" s="13"/>
      <c r="J31" s="20">
        <f t="shared" si="1"/>
        <v>0</v>
      </c>
      <c r="K31" s="20">
        <f t="shared" si="3"/>
        <v>0</v>
      </c>
      <c r="L31" s="20">
        <f t="shared" si="4"/>
        <v>0</v>
      </c>
      <c r="M31" s="13"/>
      <c r="N31" s="26">
        <f t="shared" si="5"/>
        <v>0</v>
      </c>
    </row>
    <row r="32" spans="2:14">
      <c r="B32" s="8">
        <v>27</v>
      </c>
      <c r="C32" s="6">
        <v>0</v>
      </c>
      <c r="D32" s="6">
        <v>0</v>
      </c>
      <c r="E32" s="13"/>
      <c r="F32" s="6">
        <f t="shared" si="0"/>
        <v>0</v>
      </c>
      <c r="G32" s="7">
        <v>0</v>
      </c>
      <c r="H32" s="7">
        <v>0</v>
      </c>
      <c r="I32" s="13"/>
      <c r="J32" s="20">
        <f t="shared" si="1"/>
        <v>0</v>
      </c>
      <c r="K32" s="20">
        <f t="shared" si="3"/>
        <v>0</v>
      </c>
      <c r="L32" s="20">
        <f t="shared" si="4"/>
        <v>0</v>
      </c>
      <c r="M32" s="13"/>
      <c r="N32" s="26">
        <f t="shared" si="5"/>
        <v>0</v>
      </c>
    </row>
    <row r="33" spans="2:14">
      <c r="B33" s="8">
        <v>28</v>
      </c>
      <c r="C33" s="6">
        <v>0</v>
      </c>
      <c r="D33" s="6">
        <v>0</v>
      </c>
      <c r="E33" s="13"/>
      <c r="F33" s="6">
        <f t="shared" si="0"/>
        <v>0</v>
      </c>
      <c r="G33" s="7">
        <v>0</v>
      </c>
      <c r="H33" s="7">
        <v>0</v>
      </c>
      <c r="I33" s="13"/>
      <c r="J33" s="20">
        <f t="shared" si="1"/>
        <v>0</v>
      </c>
      <c r="K33" s="20">
        <f t="shared" si="3"/>
        <v>0</v>
      </c>
      <c r="L33" s="20">
        <f t="shared" si="4"/>
        <v>0</v>
      </c>
      <c r="M33" s="13"/>
      <c r="N33" s="26">
        <f t="shared" si="5"/>
        <v>0</v>
      </c>
    </row>
    <row r="34" spans="2:14">
      <c r="B34" s="8">
        <v>29</v>
      </c>
      <c r="C34" s="6">
        <v>0</v>
      </c>
      <c r="D34" s="6">
        <v>0</v>
      </c>
      <c r="E34" s="13"/>
      <c r="F34" s="6">
        <f t="shared" si="0"/>
        <v>0</v>
      </c>
      <c r="G34" s="7">
        <v>0</v>
      </c>
      <c r="H34" s="7">
        <v>0</v>
      </c>
      <c r="I34" s="13"/>
      <c r="J34" s="20">
        <f t="shared" si="1"/>
        <v>0</v>
      </c>
      <c r="K34" s="20">
        <f t="shared" si="3"/>
        <v>0</v>
      </c>
      <c r="L34" s="20">
        <f t="shared" si="4"/>
        <v>0</v>
      </c>
      <c r="M34" s="13"/>
      <c r="N34" s="26">
        <f t="shared" si="5"/>
        <v>0</v>
      </c>
    </row>
    <row r="35" spans="2:14">
      <c r="B35" s="8">
        <v>30</v>
      </c>
      <c r="C35" s="6">
        <v>0</v>
      </c>
      <c r="D35" s="6">
        <v>0</v>
      </c>
      <c r="E35" s="14"/>
      <c r="F35" s="6">
        <f t="shared" si="0"/>
        <v>0</v>
      </c>
      <c r="G35" s="7">
        <v>0</v>
      </c>
      <c r="H35" s="7">
        <v>0</v>
      </c>
      <c r="I35" s="14"/>
      <c r="J35" s="20">
        <f t="shared" si="1"/>
        <v>0</v>
      </c>
      <c r="K35" s="20">
        <f t="shared" si="3"/>
        <v>0</v>
      </c>
      <c r="L35" s="20">
        <f t="shared" si="4"/>
        <v>0</v>
      </c>
      <c r="M35" s="14"/>
      <c r="N35" s="26">
        <f t="shared" si="5"/>
        <v>0</v>
      </c>
    </row>
    <row r="36" spans="2:14" hidden="1">
      <c r="B36" s="15">
        <v>31</v>
      </c>
      <c r="C36" s="6">
        <v>0</v>
      </c>
      <c r="D36" s="6">
        <v>0</v>
      </c>
      <c r="E36" s="16"/>
      <c r="F36" s="17">
        <f>C36+D36</f>
        <v>0</v>
      </c>
      <c r="G36" s="7">
        <v>0</v>
      </c>
      <c r="H36" s="7">
        <v>0</v>
      </c>
      <c r="I36" s="16"/>
      <c r="J36" s="27">
        <f t="shared" si="1"/>
        <v>0</v>
      </c>
      <c r="K36" s="20">
        <f t="shared" si="3"/>
        <v>0</v>
      </c>
      <c r="L36" s="20">
        <f t="shared" si="4"/>
        <v>0</v>
      </c>
      <c r="M36" s="16"/>
      <c r="N36" s="26">
        <f t="shared" si="5"/>
        <v>0</v>
      </c>
    </row>
  </sheetData>
  <mergeCells count="4">
    <mergeCell ref="B2:B4"/>
    <mergeCell ref="C2:F3"/>
    <mergeCell ref="G2:J3"/>
    <mergeCell ref="K2:N3"/>
  </mergeCells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Dashboard</vt:lpstr>
      <vt:lpstr>Summary</vt:lpstr>
      <vt:lpstr>Actual</vt:lpstr>
      <vt:lpstr>Budget</vt:lpstr>
      <vt:lpstr>Equipment </vt:lpstr>
      <vt:lpstr>Graphic Production</vt:lpstr>
      <vt:lpstr>Graph</vt:lpstr>
      <vt:lpstr>Production per Tunnel</vt:lpstr>
      <vt:lpstr>Outlook</vt:lpstr>
      <vt:lpstr>MB</vt:lpstr>
      <vt:lpstr>Copy</vt:lpstr>
      <vt:lpstr>Coal</vt:lpstr>
      <vt:lpstr>Rainfall</vt:lpstr>
      <vt:lpstr>Val</vt:lpstr>
      <vt:lpstr>OB</vt:lpstr>
      <vt:lpstr>PIT Transaction</vt:lpstr>
      <vt:lpstr>Weat_Con</vt:lpstr>
      <vt:lpstr>Loading &amp; stock_ASLI</vt:lpstr>
      <vt:lpstr>Coal Stock Temporary</vt:lpstr>
      <vt:lpstr>Actual!Print_Area</vt:lpstr>
      <vt:lpstr>Budget!Print_Area</vt:lpstr>
      <vt:lpstr>'Equipment '!Print_Area</vt:lpstr>
      <vt:lpstr>Outlook!Print_Area</vt:lpstr>
      <vt:lpstr>'PIT Transaction'!Print_Area</vt:lpstr>
      <vt:lpstr>Summary!Print_Area</vt:lpstr>
    </vt:vector>
  </TitlesOfParts>
  <Company>BANPU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Report</dc:title>
  <dc:creator>SEVIANA_HUSNITA</dc:creator>
  <cp:lastModifiedBy>Muhammad Fajar Prawira</cp:lastModifiedBy>
  <cp:lastPrinted>2026-02-11T00:44:39Z</cp:lastPrinted>
  <dcterms:created xsi:type="dcterms:W3CDTF">2010-03-02T01:47:00Z</dcterms:created>
  <dcterms:modified xsi:type="dcterms:W3CDTF">2026-09-08T01:09:12Z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CEF66D08CD1B4D4EA4B803753D7157A7_12</vt:lpwstr>
  </property>
  <property fmtid="{D5CDD505-2E9C-101B-9397-08002B2CF9AE}" pid="3" name="KSOProductBuildVer">
    <vt:lpwstr>2057-12.2.0.23197</vt:lpwstr>
  </property>
</Properties>
</file>