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4" sheetId="2" r:id="rId5"/>
    <sheet state="visible" name="Sheet5" sheetId="3" r:id="rId6"/>
    <sheet state="visible" name="Sheet2" sheetId="4" r:id="rId7"/>
    <sheet state="visible" name="Sheet3" sheetId="5" r:id="rId8"/>
  </sheets>
  <definedNames/>
  <calcPr/>
  <extLst>
    <ext uri="GoogleSheetsCustomDataVersion1">
      <go:sheetsCustomData xmlns:go="http://customooxmlschemas.google.com/" r:id="rId9" roundtripDataSignature="AMtx7mjRs5eOVoASUhp73s70mhdxb+3TeA=="/>
    </ext>
  </extLst>
</workbook>
</file>

<file path=xl/sharedStrings.xml><?xml version="1.0" encoding="utf-8"?>
<sst xmlns="http://schemas.openxmlformats.org/spreadsheetml/2006/main" count="4529" uniqueCount="2416">
  <si>
    <t>UB</t>
  </si>
  <si>
    <t>the</t>
  </si>
  <si>
    <t>(definite article,adverb)</t>
  </si>
  <si>
    <t>of</t>
  </si>
  <si>
    <t>(preposition,auxiliary verb)</t>
  </si>
  <si>
    <t>and</t>
  </si>
  <si>
    <t>(conjunction)</t>
  </si>
  <si>
    <t>to</t>
  </si>
  <si>
    <t>(preposition,adverb)</t>
  </si>
  <si>
    <t>a</t>
  </si>
  <si>
    <t>(indefinite article,noun,preposition)</t>
  </si>
  <si>
    <t>in</t>
  </si>
  <si>
    <t>is</t>
  </si>
  <si>
    <t>(verb)</t>
  </si>
  <si>
    <t>you</t>
  </si>
  <si>
    <t>(pronoun,noun)</t>
  </si>
  <si>
    <t>are</t>
  </si>
  <si>
    <t>for</t>
  </si>
  <si>
    <t>(preposition,conjunction)</t>
  </si>
  <si>
    <t>that</t>
  </si>
  <si>
    <t>(pronoun,adjective,adverb,conjunction)</t>
  </si>
  <si>
    <t>or</t>
  </si>
  <si>
    <t>it</t>
  </si>
  <si>
    <t>as</t>
  </si>
  <si>
    <t>(adverb,conjunction,pronoun,preposition)</t>
  </si>
  <si>
    <t>d</t>
  </si>
  <si>
    <t>be</t>
  </si>
  <si>
    <t>(verb,auxiliary verb)</t>
  </si>
  <si>
    <t>on</t>
  </si>
  <si>
    <t>(preposition,adverb,adjective)</t>
  </si>
  <si>
    <t>your</t>
  </si>
  <si>
    <t>(pronoun)</t>
  </si>
  <si>
    <t>with</t>
  </si>
  <si>
    <t>(preposition)</t>
  </si>
  <si>
    <t>can</t>
  </si>
  <si>
    <t>(auxiliary verb,noun)</t>
  </si>
  <si>
    <t>have</t>
  </si>
  <si>
    <t>this</t>
  </si>
  <si>
    <t>(pronoun,adjective,adverb)</t>
  </si>
  <si>
    <t>an</t>
  </si>
  <si>
    <t>(indefinite article)</t>
  </si>
  <si>
    <t>by</t>
  </si>
  <si>
    <t>not</t>
  </si>
  <si>
    <t>(adverb)</t>
  </si>
  <si>
    <t>but</t>
  </si>
  <si>
    <t>(conjunction,preposition,adverb,noun)</t>
  </si>
  <si>
    <t>at</t>
  </si>
  <si>
    <t>from</t>
  </si>
  <si>
    <t>I</t>
  </si>
  <si>
    <t>they</t>
  </si>
  <si>
    <t>more</t>
  </si>
  <si>
    <t>(adjective,adverb)</t>
  </si>
  <si>
    <t>will</t>
  </si>
  <si>
    <t>if</t>
  </si>
  <si>
    <t>(conjunction,noun)</t>
  </si>
  <si>
    <t>some</t>
  </si>
  <si>
    <t>(adjective,pronoun,adverb)</t>
  </si>
  <si>
    <t>there</t>
  </si>
  <si>
    <t>(adverb,pronoun,noun,adjective)</t>
  </si>
  <si>
    <t>what</t>
  </si>
  <si>
    <t>(pronoun,adjective,adverb,interjection)</t>
  </si>
  <si>
    <t>about</t>
  </si>
  <si>
    <t>which</t>
  </si>
  <si>
    <t>(pronoun,adjective)</t>
  </si>
  <si>
    <t>when</t>
  </si>
  <si>
    <t>(adverb,conjunction)</t>
  </si>
  <si>
    <t>one</t>
  </si>
  <si>
    <t>(adjective,noun,pronoun)</t>
  </si>
  <si>
    <t>their</t>
  </si>
  <si>
    <t>all</t>
  </si>
  <si>
    <t>(adjective,pronoun,noun,adverb)</t>
  </si>
  <si>
    <t>also</t>
  </si>
  <si>
    <t>how</t>
  </si>
  <si>
    <t>many</t>
  </si>
  <si>
    <t>do</t>
  </si>
  <si>
    <t>(auxiliary verb)</t>
  </si>
  <si>
    <t>has</t>
  </si>
  <si>
    <t>most</t>
  </si>
  <si>
    <t>(adjective,noun,adverb)</t>
  </si>
  <si>
    <t>people</t>
  </si>
  <si>
    <t>(noun)</t>
  </si>
  <si>
    <t>other</t>
  </si>
  <si>
    <t>(adjective,noun,pronoun,adverb)</t>
  </si>
  <si>
    <t>time</t>
  </si>
  <si>
    <t>(noun,adjective,verb)</t>
  </si>
  <si>
    <t>so</t>
  </si>
  <si>
    <t>(adverb,conjunction,pronoun,adjective)</t>
  </si>
  <si>
    <t>was</t>
  </si>
  <si>
    <t>(past,verb)</t>
  </si>
  <si>
    <t>we</t>
  </si>
  <si>
    <t>these</t>
  </si>
  <si>
    <t>may</t>
  </si>
  <si>
    <t>like</t>
  </si>
  <si>
    <t>(preposition,verb,conjunction,adverb)</t>
  </si>
  <si>
    <t>use</t>
  </si>
  <si>
    <t>(verb,noun)</t>
  </si>
  <si>
    <t>into</t>
  </si>
  <si>
    <t>than</t>
  </si>
  <si>
    <t>up</t>
  </si>
  <si>
    <t>(adverb,preposition,adjective,noun)</t>
  </si>
  <si>
    <t>out</t>
  </si>
  <si>
    <t>(adverb,preposition,adjective,interjection)</t>
  </si>
  <si>
    <t>who</t>
  </si>
  <si>
    <t>them</t>
  </si>
  <si>
    <t>make</t>
  </si>
  <si>
    <t>because</t>
  </si>
  <si>
    <t>such</t>
  </si>
  <si>
    <t>through</t>
  </si>
  <si>
    <t>get</t>
  </si>
  <si>
    <t>work</t>
  </si>
  <si>
    <t>even</t>
  </si>
  <si>
    <t>(adjective,verb,adverb)</t>
  </si>
  <si>
    <t>different</t>
  </si>
  <si>
    <t>(adjective)</t>
  </si>
  <si>
    <t>its</t>
  </si>
  <si>
    <t>no</t>
  </si>
  <si>
    <t>(adverb,adjective,noun)</t>
  </si>
  <si>
    <t>our</t>
  </si>
  <si>
    <t>new</t>
  </si>
  <si>
    <t>film</t>
  </si>
  <si>
    <t>(noun,verb)</t>
  </si>
  <si>
    <t>just</t>
  </si>
  <si>
    <t>only</t>
  </si>
  <si>
    <t>(adverb,adjective,conjunction)</t>
  </si>
  <si>
    <t>see</t>
  </si>
  <si>
    <t>used</t>
  </si>
  <si>
    <t>good</t>
  </si>
  <si>
    <t>(adjective,noun,adverb,interjection)</t>
  </si>
  <si>
    <t>water</t>
  </si>
  <si>
    <t>(noun,verb,adjective)</t>
  </si>
  <si>
    <t>been</t>
  </si>
  <si>
    <t>need</t>
  </si>
  <si>
    <t>should</t>
  </si>
  <si>
    <t>very</t>
  </si>
  <si>
    <t>any</t>
  </si>
  <si>
    <t>history</t>
  </si>
  <si>
    <t>often</t>
  </si>
  <si>
    <t>way</t>
  </si>
  <si>
    <t>well</t>
  </si>
  <si>
    <t>(adverb,verb,noun,interjection)</t>
  </si>
  <si>
    <t>art</t>
  </si>
  <si>
    <t>know</t>
  </si>
  <si>
    <t>were</t>
  </si>
  <si>
    <t>then</t>
  </si>
  <si>
    <t>(adverb,adjective)</t>
  </si>
  <si>
    <t>my</t>
  </si>
  <si>
    <t>first</t>
  </si>
  <si>
    <t>would</t>
  </si>
  <si>
    <t>money</t>
  </si>
  <si>
    <t>(noun,adjective)</t>
  </si>
  <si>
    <t>each</t>
  </si>
  <si>
    <t>over</t>
  </si>
  <si>
    <t>(preposition,adjective,noun)</t>
  </si>
  <si>
    <t>world</t>
  </si>
  <si>
    <t>information</t>
  </si>
  <si>
    <t>map</t>
  </si>
  <si>
    <t>find</t>
  </si>
  <si>
    <t>where</t>
  </si>
  <si>
    <t>(adverb,pronoun,noun)</t>
  </si>
  <si>
    <t>much</t>
  </si>
  <si>
    <t>take</t>
  </si>
  <si>
    <t>two</t>
  </si>
  <si>
    <t>want</t>
  </si>
  <si>
    <t>important</t>
  </si>
  <si>
    <t>family</t>
  </si>
  <si>
    <t>those</t>
  </si>
  <si>
    <t>example</t>
  </si>
  <si>
    <t>while</t>
  </si>
  <si>
    <t>(noun,conjunction,preposition,verb)</t>
  </si>
  <si>
    <t>he</t>
  </si>
  <si>
    <t>look</t>
  </si>
  <si>
    <t>(verb,noun,interjection)</t>
  </si>
  <si>
    <t>government</t>
  </si>
  <si>
    <t>before</t>
  </si>
  <si>
    <t>(preposition,adverb,conjunction)</t>
  </si>
  <si>
    <t>help</t>
  </si>
  <si>
    <t>between</t>
  </si>
  <si>
    <t>go</t>
  </si>
  <si>
    <t>(verb,noun,adjective,interjection)</t>
  </si>
  <si>
    <t>own</t>
  </si>
  <si>
    <t>(adjective,verb)</t>
  </si>
  <si>
    <t>however</t>
  </si>
  <si>
    <t>business</t>
  </si>
  <si>
    <t>us</t>
  </si>
  <si>
    <t>great</t>
  </si>
  <si>
    <t>his</t>
  </si>
  <si>
    <t>being</t>
  </si>
  <si>
    <t>another</t>
  </si>
  <si>
    <t>(adjective,pronoun)</t>
  </si>
  <si>
    <t>health</t>
  </si>
  <si>
    <t>same</t>
  </si>
  <si>
    <t>study</t>
  </si>
  <si>
    <t>why</t>
  </si>
  <si>
    <t>(adverb,conjunction,noun,interjection)</t>
  </si>
  <si>
    <t>few</t>
  </si>
  <si>
    <t>game</t>
  </si>
  <si>
    <t>might</t>
  </si>
  <si>
    <t>think</t>
  </si>
  <si>
    <t>(verb,adjective,noun)</t>
  </si>
  <si>
    <t>free</t>
  </si>
  <si>
    <t>(adjective,adverb,verb)</t>
  </si>
  <si>
    <t>too</t>
  </si>
  <si>
    <t>had</t>
  </si>
  <si>
    <t>hi</t>
  </si>
  <si>
    <t>(interjection)</t>
  </si>
  <si>
    <t>right</t>
  </si>
  <si>
    <t>(adjective,adverb,noun,verb)</t>
  </si>
  <si>
    <t>still</t>
  </si>
  <si>
    <t>(adjective,noun,adverb,verb)</t>
  </si>
  <si>
    <t>system</t>
  </si>
  <si>
    <t>after</t>
  </si>
  <si>
    <t>(preposition,adjective,adverb)</t>
  </si>
  <si>
    <t>computer</t>
  </si>
  <si>
    <t>best</t>
  </si>
  <si>
    <t>must</t>
  </si>
  <si>
    <t>(auxiliary verb,verb,adjective,noun)</t>
  </si>
  <si>
    <t>her</t>
  </si>
  <si>
    <t>life</t>
  </si>
  <si>
    <t>since</t>
  </si>
  <si>
    <t>could</t>
  </si>
  <si>
    <t>does</t>
  </si>
  <si>
    <t>now</t>
  </si>
  <si>
    <t>(adverb,conjunction,adjective)</t>
  </si>
  <si>
    <t>during</t>
  </si>
  <si>
    <t>learn</t>
  </si>
  <si>
    <t>around</t>
  </si>
  <si>
    <t>(adverb,preposition)</t>
  </si>
  <si>
    <t>usually</t>
  </si>
  <si>
    <t>form</t>
  </si>
  <si>
    <t>meat</t>
  </si>
  <si>
    <t>air</t>
  </si>
  <si>
    <t>day</t>
  </si>
  <si>
    <t>place</t>
  </si>
  <si>
    <t>become</t>
  </si>
  <si>
    <t>number</t>
  </si>
  <si>
    <t>public</t>
  </si>
  <si>
    <t>(adjective,noun)</t>
  </si>
  <si>
    <t>read</t>
  </si>
  <si>
    <t>keep</t>
  </si>
  <si>
    <t>part</t>
  </si>
  <si>
    <t>(noun,verb,adverb)</t>
  </si>
  <si>
    <t>start</t>
  </si>
  <si>
    <t>year</t>
  </si>
  <si>
    <t>every</t>
  </si>
  <si>
    <t>field</t>
  </si>
  <si>
    <t>large</t>
  </si>
  <si>
    <t>once</t>
  </si>
  <si>
    <t>available</t>
  </si>
  <si>
    <t>down</t>
  </si>
  <si>
    <t>(adverb,preposition,adjective,verb)</t>
  </si>
  <si>
    <t>give</t>
  </si>
  <si>
    <t>fish</t>
  </si>
  <si>
    <t>human</t>
  </si>
  <si>
    <t>both</t>
  </si>
  <si>
    <t>local</t>
  </si>
  <si>
    <t>sure</t>
  </si>
  <si>
    <t>something</t>
  </si>
  <si>
    <t>without</t>
  </si>
  <si>
    <t>come</t>
  </si>
  <si>
    <t>me</t>
  </si>
  <si>
    <t>back</t>
  </si>
  <si>
    <t>(noun,adverb,verb,adjective)</t>
  </si>
  <si>
    <t>better</t>
  </si>
  <si>
    <t>general</t>
  </si>
  <si>
    <t>process</t>
  </si>
  <si>
    <t>she</t>
  </si>
  <si>
    <t>heat</t>
  </si>
  <si>
    <t>thanks</t>
  </si>
  <si>
    <t>specific</t>
  </si>
  <si>
    <t>enough</t>
  </si>
  <si>
    <t>(adjective,adverb,interjection)</t>
  </si>
  <si>
    <t>long</t>
  </si>
  <si>
    <t>lot</t>
  </si>
  <si>
    <t>(pronoun,adverb,noun,verb)</t>
  </si>
  <si>
    <t>hand</t>
  </si>
  <si>
    <t>popular</t>
  </si>
  <si>
    <t>small</t>
  </si>
  <si>
    <t>though</t>
  </si>
  <si>
    <t>(conjunction,adverb)</t>
  </si>
  <si>
    <t>experience</t>
  </si>
  <si>
    <t>include</t>
  </si>
  <si>
    <t>job</t>
  </si>
  <si>
    <t>music</t>
  </si>
  <si>
    <t>person</t>
  </si>
  <si>
    <t>really</t>
  </si>
  <si>
    <t>although</t>
  </si>
  <si>
    <t>thank</t>
  </si>
  <si>
    <t>book</t>
  </si>
  <si>
    <t>early</t>
  </si>
  <si>
    <t>reading</t>
  </si>
  <si>
    <t>end</t>
  </si>
  <si>
    <t>method</t>
  </si>
  <si>
    <t>never</t>
  </si>
  <si>
    <t>less</t>
  </si>
  <si>
    <t>(adjective,adverb,preposition)</t>
  </si>
  <si>
    <t>play</t>
  </si>
  <si>
    <t>able</t>
  </si>
  <si>
    <t>data</t>
  </si>
  <si>
    <t>feel</t>
  </si>
  <si>
    <t>high</t>
  </si>
  <si>
    <t>off</t>
  </si>
  <si>
    <t>point</t>
  </si>
  <si>
    <t>type</t>
  </si>
  <si>
    <t>whether</t>
  </si>
  <si>
    <t>food</t>
  </si>
  <si>
    <t>understanding</t>
  </si>
  <si>
    <t>here</t>
  </si>
  <si>
    <t>(adverb,interjection)</t>
  </si>
  <si>
    <t>home</t>
  </si>
  <si>
    <t>(noun,adjective,adverb,verb)</t>
  </si>
  <si>
    <t>certain</t>
  </si>
  <si>
    <t>economy</t>
  </si>
  <si>
    <t>little</t>
  </si>
  <si>
    <t>theory</t>
  </si>
  <si>
    <t>tonight</t>
  </si>
  <si>
    <t>(adverb,noun)</t>
  </si>
  <si>
    <t>law</t>
  </si>
  <si>
    <t>put</t>
  </si>
  <si>
    <t>under</t>
  </si>
  <si>
    <t>value</t>
  </si>
  <si>
    <t>always</t>
  </si>
  <si>
    <t>body</t>
  </si>
  <si>
    <t>common</t>
  </si>
  <si>
    <t>market</t>
  </si>
  <si>
    <t>set</t>
  </si>
  <si>
    <t>(verb,noun,adjective)</t>
  </si>
  <si>
    <t>bird</t>
  </si>
  <si>
    <t>guide</t>
  </si>
  <si>
    <t>provide</t>
  </si>
  <si>
    <t>change</t>
  </si>
  <si>
    <t>interest</t>
  </si>
  <si>
    <t>literature</t>
  </si>
  <si>
    <t>sometimes</t>
  </si>
  <si>
    <t>problem</t>
  </si>
  <si>
    <t>say</t>
  </si>
  <si>
    <t>(verb,interjection,noun)</t>
  </si>
  <si>
    <t>next</t>
  </si>
  <si>
    <t>(adjective,adverb,noun)</t>
  </si>
  <si>
    <t>create</t>
  </si>
  <si>
    <t>simple</t>
  </si>
  <si>
    <t>software</t>
  </si>
  <si>
    <t>state</t>
  </si>
  <si>
    <t>together</t>
  </si>
  <si>
    <t>control</t>
  </si>
  <si>
    <t>knowledge</t>
  </si>
  <si>
    <t>power</t>
  </si>
  <si>
    <t>radio</t>
  </si>
  <si>
    <t>ability</t>
  </si>
  <si>
    <t>basic</t>
  </si>
  <si>
    <t>course</t>
  </si>
  <si>
    <t>economics</t>
  </si>
  <si>
    <t>hard</t>
  </si>
  <si>
    <t>add</t>
  </si>
  <si>
    <t>company</t>
  </si>
  <si>
    <t>known</t>
  </si>
  <si>
    <t>love</t>
  </si>
  <si>
    <t>past</t>
  </si>
  <si>
    <t>(adjective,noun,preposition,adverb)</t>
  </si>
  <si>
    <t>price</t>
  </si>
  <si>
    <t>size</t>
  </si>
  <si>
    <t>away</t>
  </si>
  <si>
    <t>big</t>
  </si>
  <si>
    <t>internet</t>
  </si>
  <si>
    <t>possible</t>
  </si>
  <si>
    <t>television</t>
  </si>
  <si>
    <t>three</t>
  </si>
  <si>
    <t>(number)</t>
  </si>
  <si>
    <t>understand</t>
  </si>
  <si>
    <t>various</t>
  </si>
  <si>
    <t>yourself</t>
  </si>
  <si>
    <t>card</t>
  </si>
  <si>
    <t>difficult</t>
  </si>
  <si>
    <t>including</t>
  </si>
  <si>
    <t>list</t>
  </si>
  <si>
    <t>mind</t>
  </si>
  <si>
    <t>particular</t>
  </si>
  <si>
    <t>science</t>
  </si>
  <si>
    <t>trade</t>
  </si>
  <si>
    <t>consider</t>
  </si>
  <si>
    <t>either</t>
  </si>
  <si>
    <t>(conjunction,adjective)</t>
  </si>
  <si>
    <t>library</t>
  </si>
  <si>
    <t>likely</t>
  </si>
  <si>
    <t>nature</t>
  </si>
  <si>
    <t>fact</t>
  </si>
  <si>
    <t>line</t>
  </si>
  <si>
    <t>product</t>
  </si>
  <si>
    <t>care</t>
  </si>
  <si>
    <t>group</t>
  </si>
  <si>
    <t>idea</t>
  </si>
  <si>
    <t>risk</t>
  </si>
  <si>
    <t>several</t>
  </si>
  <si>
    <t>someone</t>
  </si>
  <si>
    <t>temperature</t>
  </si>
  <si>
    <t>united</t>
  </si>
  <si>
    <t>word</t>
  </si>
  <si>
    <t>(noun,verb,interjection)</t>
  </si>
  <si>
    <t>fat</t>
  </si>
  <si>
    <t>force</t>
  </si>
  <si>
    <t>key</t>
  </si>
  <si>
    <t>light</t>
  </si>
  <si>
    <t>simply</t>
  </si>
  <si>
    <t>today</t>
  </si>
  <si>
    <t>training</t>
  </si>
  <si>
    <t>until</t>
  </si>
  <si>
    <t>major</t>
  </si>
  <si>
    <t>(adjective,noun,verb)</t>
  </si>
  <si>
    <t>name</t>
  </si>
  <si>
    <t>personal</t>
  </si>
  <si>
    <t>school</t>
  </si>
  <si>
    <t>top</t>
  </si>
  <si>
    <t>current</t>
  </si>
  <si>
    <t>generally</t>
  </si>
  <si>
    <t>historical</t>
  </si>
  <si>
    <t>investment</t>
  </si>
  <si>
    <t>left</t>
  </si>
  <si>
    <t>national</t>
  </si>
  <si>
    <t>amount</t>
  </si>
  <si>
    <t>level</t>
  </si>
  <si>
    <t>order</t>
  </si>
  <si>
    <t>practice</t>
  </si>
  <si>
    <t>research</t>
  </si>
  <si>
    <t>sense</t>
  </si>
  <si>
    <t>service</t>
  </si>
  <si>
    <t>area</t>
  </si>
  <si>
    <t>cut</t>
  </si>
  <si>
    <t>hot</t>
  </si>
  <si>
    <t>instead</t>
  </si>
  <si>
    <t>least</t>
  </si>
  <si>
    <t>natural</t>
  </si>
  <si>
    <t>physical</t>
  </si>
  <si>
    <t>piece</t>
  </si>
  <si>
    <t>show</t>
  </si>
  <si>
    <t>society</t>
  </si>
  <si>
    <t>try</t>
  </si>
  <si>
    <t>check</t>
  </si>
  <si>
    <t>choose</t>
  </si>
  <si>
    <t>develop</t>
  </si>
  <si>
    <t>second</t>
  </si>
  <si>
    <t>(number,noun)</t>
  </si>
  <si>
    <t>useful</t>
  </si>
  <si>
    <t>web</t>
  </si>
  <si>
    <t>activity</t>
  </si>
  <si>
    <t>boss</t>
  </si>
  <si>
    <t>short</t>
  </si>
  <si>
    <t>story</t>
  </si>
  <si>
    <t>call</t>
  </si>
  <si>
    <t>industry</t>
  </si>
  <si>
    <t>last</t>
  </si>
  <si>
    <t>media</t>
  </si>
  <si>
    <t>mental</t>
  </si>
  <si>
    <t>move</t>
  </si>
  <si>
    <t>pay</t>
  </si>
  <si>
    <t>sport</t>
  </si>
  <si>
    <t>thing</t>
  </si>
  <si>
    <t>actually</t>
  </si>
  <si>
    <t>against</t>
  </si>
  <si>
    <t>far</t>
  </si>
  <si>
    <t>fun</t>
  </si>
  <si>
    <t>house</t>
  </si>
  <si>
    <t>let</t>
  </si>
  <si>
    <t>page</t>
  </si>
  <si>
    <t>remember</t>
  </si>
  <si>
    <t>term</t>
  </si>
  <si>
    <t>test</t>
  </si>
  <si>
    <t>within</t>
  </si>
  <si>
    <t>along</t>
  </si>
  <si>
    <t>answer</t>
  </si>
  <si>
    <t>increase</t>
  </si>
  <si>
    <t>oven</t>
  </si>
  <si>
    <t>quite</t>
  </si>
  <si>
    <t>scared</t>
  </si>
  <si>
    <t>single</t>
  </si>
  <si>
    <t>sound</t>
  </si>
  <si>
    <t>again</t>
  </si>
  <si>
    <t>community</t>
  </si>
  <si>
    <t>definition</t>
  </si>
  <si>
    <t>focus</t>
  </si>
  <si>
    <t>individual</t>
  </si>
  <si>
    <t>matter</t>
  </si>
  <si>
    <t>safety</t>
  </si>
  <si>
    <t>turn</t>
  </si>
  <si>
    <t>everything</t>
  </si>
  <si>
    <t>kind</t>
  </si>
  <si>
    <t>quality</t>
  </si>
  <si>
    <t>soil</t>
  </si>
  <si>
    <t>ask</t>
  </si>
  <si>
    <t>board</t>
  </si>
  <si>
    <t>buy</t>
  </si>
  <si>
    <t>development</t>
  </si>
  <si>
    <t>guard</t>
  </si>
  <si>
    <t>hold</t>
  </si>
  <si>
    <t>language</t>
  </si>
  <si>
    <t>later</t>
  </si>
  <si>
    <t>main</t>
  </si>
  <si>
    <t>offer</t>
  </si>
  <si>
    <t>oil</t>
  </si>
  <si>
    <t>picture</t>
  </si>
  <si>
    <t>potential</t>
  </si>
  <si>
    <t>professional</t>
  </si>
  <si>
    <t>rather</t>
  </si>
  <si>
    <t>access</t>
  </si>
  <si>
    <t>additional</t>
  </si>
  <si>
    <t>almost</t>
  </si>
  <si>
    <t>especially</t>
  </si>
  <si>
    <t>garden</t>
  </si>
  <si>
    <t>international</t>
  </si>
  <si>
    <t>lower</t>
  </si>
  <si>
    <t>management</t>
  </si>
  <si>
    <t>open</t>
  </si>
  <si>
    <t>(adjective,verb,noun)</t>
  </si>
  <si>
    <t>player</t>
  </si>
  <si>
    <t>range</t>
  </si>
  <si>
    <t>rate</t>
  </si>
  <si>
    <t>reason</t>
  </si>
  <si>
    <t>travel</t>
  </si>
  <si>
    <t>variety</t>
  </si>
  <si>
    <t>video</t>
  </si>
  <si>
    <t>week</t>
  </si>
  <si>
    <t>above</t>
  </si>
  <si>
    <t>according</t>
  </si>
  <si>
    <t>cook</t>
  </si>
  <si>
    <t>determine</t>
  </si>
  <si>
    <t>future</t>
  </si>
  <si>
    <t>site</t>
  </si>
  <si>
    <t>alternative</t>
  </si>
  <si>
    <t>demand</t>
  </si>
  <si>
    <t>ever</t>
  </si>
  <si>
    <t>exercise</t>
  </si>
  <si>
    <t>following</t>
  </si>
  <si>
    <t>(preposition,noun,adjective)</t>
  </si>
  <si>
    <t>image</t>
  </si>
  <si>
    <t>quickly</t>
  </si>
  <si>
    <t>special</t>
  </si>
  <si>
    <t>working</t>
  </si>
  <si>
    <t>case</t>
  </si>
  <si>
    <t>cause</t>
  </si>
  <si>
    <t>coast</t>
  </si>
  <si>
    <t>probably</t>
  </si>
  <si>
    <t>security</t>
  </si>
  <si>
    <t>whole</t>
  </si>
  <si>
    <t>action</t>
  </si>
  <si>
    <t>age</t>
  </si>
  <si>
    <t>among</t>
  </si>
  <si>
    <t>bad</t>
  </si>
  <si>
    <t>(noun,adverb,adjective)</t>
  </si>
  <si>
    <t>boat</t>
  </si>
  <si>
    <t>country</t>
  </si>
  <si>
    <t>dance</t>
  </si>
  <si>
    <t>exam</t>
  </si>
  <si>
    <t>excuse</t>
  </si>
  <si>
    <t>grow</t>
  </si>
  <si>
    <t>movie</t>
  </si>
  <si>
    <t>organization</t>
  </si>
  <si>
    <t>record</t>
  </si>
  <si>
    <t>result</t>
  </si>
  <si>
    <t>section</t>
  </si>
  <si>
    <t>across</t>
  </si>
  <si>
    <t>already</t>
  </si>
  <si>
    <t>below</t>
  </si>
  <si>
    <t>building</t>
  </si>
  <si>
    <t>mouse</t>
  </si>
  <si>
    <t>allow</t>
  </si>
  <si>
    <t>cash</t>
  </si>
  <si>
    <t>class</t>
  </si>
  <si>
    <t>clear</t>
  </si>
  <si>
    <t>dry</t>
  </si>
  <si>
    <t>easy</t>
  </si>
  <si>
    <t>emotional</t>
  </si>
  <si>
    <t>equipment</t>
  </si>
  <si>
    <t>live</t>
  </si>
  <si>
    <t>(verb,adjective,adverb)</t>
  </si>
  <si>
    <t>nothing</t>
  </si>
  <si>
    <t>(noun,pronoun,adjective,adverb)</t>
  </si>
  <si>
    <t>period</t>
  </si>
  <si>
    <t>physics</t>
  </si>
  <si>
    <t>plan</t>
  </si>
  <si>
    <t>store</t>
  </si>
  <si>
    <t>tax</t>
  </si>
  <si>
    <t>analysis</t>
  </si>
  <si>
    <t>cold</t>
  </si>
  <si>
    <t>commercial</t>
  </si>
  <si>
    <t>directly</t>
  </si>
  <si>
    <t>full</t>
  </si>
  <si>
    <t>involved</t>
  </si>
  <si>
    <t>itself</t>
  </si>
  <si>
    <t>low</t>
  </si>
  <si>
    <t>old</t>
  </si>
  <si>
    <t>policy</t>
  </si>
  <si>
    <t>political</t>
  </si>
  <si>
    <t>purchase</t>
  </si>
  <si>
    <t>series</t>
  </si>
  <si>
    <t>side</t>
  </si>
  <si>
    <t>subject</t>
  </si>
  <si>
    <t>supply</t>
  </si>
  <si>
    <t>therefore</t>
  </si>
  <si>
    <t>thought</t>
  </si>
  <si>
    <t>basis</t>
  </si>
  <si>
    <t>boyfriend</t>
  </si>
  <si>
    <t>deal</t>
  </si>
  <si>
    <t>direction</t>
  </si>
  <si>
    <t>mean</t>
  </si>
  <si>
    <t>primary</t>
  </si>
  <si>
    <t>space</t>
  </si>
  <si>
    <t>strategy</t>
  </si>
  <si>
    <t>technology</t>
  </si>
  <si>
    <t>worth</t>
  </si>
  <si>
    <t>army</t>
  </si>
  <si>
    <t>camera</t>
  </si>
  <si>
    <t>fall</t>
  </si>
  <si>
    <t>freedom</t>
  </si>
  <si>
    <t>paper</t>
  </si>
  <si>
    <t>rule</t>
  </si>
  <si>
    <t>similar</t>
  </si>
  <si>
    <t>stock</t>
  </si>
  <si>
    <t>weather</t>
  </si>
  <si>
    <t>yet</t>
  </si>
  <si>
    <t>bring</t>
  </si>
  <si>
    <t>chance</t>
  </si>
  <si>
    <t>environment</t>
  </si>
  <si>
    <t>everyone</t>
  </si>
  <si>
    <t>figure</t>
  </si>
  <si>
    <t>improve</t>
  </si>
  <si>
    <t>man</t>
  </si>
  <si>
    <t>model</t>
  </si>
  <si>
    <t>necessary</t>
  </si>
  <si>
    <t>positive</t>
  </si>
  <si>
    <t>produce</t>
  </si>
  <si>
    <t>search</t>
  </si>
  <si>
    <t>source</t>
  </si>
  <si>
    <t>beginning</t>
  </si>
  <si>
    <t>child</t>
  </si>
  <si>
    <t>earth</t>
  </si>
  <si>
    <t>else</t>
  </si>
  <si>
    <t>healthy</t>
  </si>
  <si>
    <t>instance</t>
  </si>
  <si>
    <t>maintain</t>
  </si>
  <si>
    <t>month</t>
  </si>
  <si>
    <t>present</t>
  </si>
  <si>
    <t>program</t>
  </si>
  <si>
    <t>spend</t>
  </si>
  <si>
    <t>talk</t>
  </si>
  <si>
    <t>truth</t>
  </si>
  <si>
    <t>upset</t>
  </si>
  <si>
    <t>(verb,adjective)</t>
  </si>
  <si>
    <t>begin</t>
  </si>
  <si>
    <t>chicken</t>
  </si>
  <si>
    <t>close</t>
  </si>
  <si>
    <t>(adjective,adverb,verb,noun)</t>
  </si>
  <si>
    <t>creative</t>
  </si>
  <si>
    <t>design</t>
  </si>
  <si>
    <t>feature</t>
  </si>
  <si>
    <t>financial</t>
  </si>
  <si>
    <t>head</t>
  </si>
  <si>
    <t>marketing</t>
  </si>
  <si>
    <t>material</t>
  </si>
  <si>
    <t>medical</t>
  </si>
  <si>
    <t>purpose</t>
  </si>
  <si>
    <t>question</t>
  </si>
  <si>
    <t>rock</t>
  </si>
  <si>
    <t>salt</t>
  </si>
  <si>
    <t>tell</t>
  </si>
  <si>
    <t>themselves</t>
  </si>
  <si>
    <t>traditional</t>
  </si>
  <si>
    <t>university</t>
  </si>
  <si>
    <t>writing</t>
  </si>
  <si>
    <t>act</t>
  </si>
  <si>
    <t>article</t>
  </si>
  <si>
    <t>birth</t>
  </si>
  <si>
    <t>car</t>
  </si>
  <si>
    <t>cost</t>
  </si>
  <si>
    <t>department</t>
  </si>
  <si>
    <t>difference</t>
  </si>
  <si>
    <t>dog</t>
  </si>
  <si>
    <t>drive</t>
  </si>
  <si>
    <t>exist</t>
  </si>
  <si>
    <t>federal</t>
  </si>
  <si>
    <t>goal</t>
  </si>
  <si>
    <t>green</t>
  </si>
  <si>
    <t>late</t>
  </si>
  <si>
    <t>news</t>
  </si>
  <si>
    <t>object</t>
  </si>
  <si>
    <t>scale</t>
  </si>
  <si>
    <t>sun</t>
  </si>
  <si>
    <t>support</t>
  </si>
  <si>
    <t>tend</t>
  </si>
  <si>
    <t>thus</t>
  </si>
  <si>
    <t>audience</t>
  </si>
  <si>
    <t>enjoy</t>
  </si>
  <si>
    <t>entire</t>
  </si>
  <si>
    <t>fishing</t>
  </si>
  <si>
    <t>fit</t>
  </si>
  <si>
    <t>glad</t>
  </si>
  <si>
    <t>growth</t>
  </si>
  <si>
    <t>income</t>
  </si>
  <si>
    <t>marriage</t>
  </si>
  <si>
    <t>note</t>
  </si>
  <si>
    <t>perform</t>
  </si>
  <si>
    <t>profit</t>
  </si>
  <si>
    <t>proper</t>
  </si>
  <si>
    <t>related</t>
  </si>
  <si>
    <t>remove</t>
  </si>
  <si>
    <t>rent</t>
  </si>
  <si>
    <t>return</t>
  </si>
  <si>
    <t>run</t>
  </si>
  <si>
    <t>speed</t>
  </si>
  <si>
    <t>strong</t>
  </si>
  <si>
    <t>style</t>
  </si>
  <si>
    <t>throughout</t>
  </si>
  <si>
    <t>user</t>
  </si>
  <si>
    <t>war</t>
  </si>
  <si>
    <t>actual</t>
  </si>
  <si>
    <t>appropriate</t>
  </si>
  <si>
    <t>bank</t>
  </si>
  <si>
    <t>combination</t>
  </si>
  <si>
    <t>complex</t>
  </si>
  <si>
    <t>content</t>
  </si>
  <si>
    <t>craft</t>
  </si>
  <si>
    <t>due</t>
  </si>
  <si>
    <t>easily</t>
  </si>
  <si>
    <t>effective</t>
  </si>
  <si>
    <t>eventually</t>
  </si>
  <si>
    <t>exactly</t>
  </si>
  <si>
    <t>failure</t>
  </si>
  <si>
    <t>half</t>
  </si>
  <si>
    <t>(noun,predeterminer,adverb)</t>
  </si>
  <si>
    <t>inside</t>
  </si>
  <si>
    <t>(noun,adjective,preposition)</t>
  </si>
  <si>
    <t>meaning</t>
  </si>
  <si>
    <t>medicine</t>
  </si>
  <si>
    <t>middle</t>
  </si>
  <si>
    <t>outside</t>
  </si>
  <si>
    <t>philosophy</t>
  </si>
  <si>
    <t>regular</t>
  </si>
  <si>
    <t>reserve</t>
  </si>
  <si>
    <t>standard</t>
  </si>
  <si>
    <t>bus</t>
  </si>
  <si>
    <t>decide</t>
  </si>
  <si>
    <t>exchange</t>
  </si>
  <si>
    <t>eye</t>
  </si>
  <si>
    <t>fast</t>
  </si>
  <si>
    <t>fire</t>
  </si>
  <si>
    <t>identify</t>
  </si>
  <si>
    <t>independent</t>
  </si>
  <si>
    <t>leave</t>
  </si>
  <si>
    <t>original</t>
  </si>
  <si>
    <t>position</t>
  </si>
  <si>
    <t>pressure</t>
  </si>
  <si>
    <t>reach</t>
  </si>
  <si>
    <t>rest</t>
  </si>
  <si>
    <t>serve</t>
  </si>
  <si>
    <t>stress</t>
  </si>
  <si>
    <t>teacher</t>
  </si>
  <si>
    <t>watch</t>
  </si>
  <si>
    <t>wide</t>
  </si>
  <si>
    <t>advantage</t>
  </si>
  <si>
    <t>beautiful</t>
  </si>
  <si>
    <t>(adjective,noun,interjection)</t>
  </si>
  <si>
    <t>benefit</t>
  </si>
  <si>
    <t>box</t>
  </si>
  <si>
    <t>charge</t>
  </si>
  <si>
    <t>communication</t>
  </si>
  <si>
    <t>complete</t>
  </si>
  <si>
    <t>continue</t>
  </si>
  <si>
    <t>frame</t>
  </si>
  <si>
    <t>issue</t>
  </si>
  <si>
    <t>limited</t>
  </si>
  <si>
    <t>night</t>
  </si>
  <si>
    <t>protect</t>
  </si>
  <si>
    <t>require</t>
  </si>
  <si>
    <t>significant</t>
  </si>
  <si>
    <t>step</t>
  </si>
  <si>
    <t>successful</t>
  </si>
  <si>
    <t>unless</t>
  </si>
  <si>
    <t>active</t>
  </si>
  <si>
    <t>break</t>
  </si>
  <si>
    <t>chemistry</t>
  </si>
  <si>
    <t>cycle</t>
  </si>
  <si>
    <t>disease</t>
  </si>
  <si>
    <t>disk</t>
  </si>
  <si>
    <t>electrical</t>
  </si>
  <si>
    <t>energy</t>
  </si>
  <si>
    <t>expensive</t>
  </si>
  <si>
    <t>face</t>
  </si>
  <si>
    <t>interested</t>
  </si>
  <si>
    <t>item</t>
  </si>
  <si>
    <t>(noun,adverb)</t>
  </si>
  <si>
    <t>metal</t>
  </si>
  <si>
    <t>nation</t>
  </si>
  <si>
    <t>negative</t>
  </si>
  <si>
    <t>(adjective,noun,interjection,verb)</t>
  </si>
  <si>
    <t>occur</t>
  </si>
  <si>
    <t>paint</t>
  </si>
  <si>
    <t>pregnant</t>
  </si>
  <si>
    <t>review</t>
  </si>
  <si>
    <t>road</t>
  </si>
  <si>
    <t>role</t>
  </si>
  <si>
    <t>room</t>
  </si>
  <si>
    <t>safe</t>
  </si>
  <si>
    <t>screen</t>
  </si>
  <si>
    <t>soup</t>
  </si>
  <si>
    <t>stay</t>
  </si>
  <si>
    <t>structure</t>
  </si>
  <si>
    <t>view</t>
  </si>
  <si>
    <t>visit</t>
  </si>
  <si>
    <t>visual</t>
  </si>
  <si>
    <t>write</t>
  </si>
  <si>
    <t>wrong</t>
  </si>
  <si>
    <t>account</t>
  </si>
  <si>
    <t>advertising</t>
  </si>
  <si>
    <t>affect</t>
  </si>
  <si>
    <t>ago</t>
  </si>
  <si>
    <t>anyone</t>
  </si>
  <si>
    <t>approach</t>
  </si>
  <si>
    <t>avoid</t>
  </si>
  <si>
    <t>ball</t>
  </si>
  <si>
    <t>behind</t>
  </si>
  <si>
    <t>(preposition,adverb,adjective,noun)</t>
  </si>
  <si>
    <t>certainly</t>
  </si>
  <si>
    <t>concerned</t>
  </si>
  <si>
    <t>cover</t>
  </si>
  <si>
    <t>discipline</t>
  </si>
  <si>
    <t>location</t>
  </si>
  <si>
    <t>medium</t>
  </si>
  <si>
    <t>normally</t>
  </si>
  <si>
    <t>prepare</t>
  </si>
  <si>
    <t>quick</t>
  </si>
  <si>
    <t>ready</t>
  </si>
  <si>
    <t>report</t>
  </si>
  <si>
    <t>rise</t>
  </si>
  <si>
    <t>share</t>
  </si>
  <si>
    <t>success</t>
  </si>
  <si>
    <t>addition</t>
  </si>
  <si>
    <t>apartment</t>
  </si>
  <si>
    <t>balance</t>
  </si>
  <si>
    <t>bit</t>
  </si>
  <si>
    <t>black</t>
  </si>
  <si>
    <t>(noun,verb,adjective,adverb)</t>
  </si>
  <si>
    <t>bottom</t>
  </si>
  <si>
    <t>build</t>
  </si>
  <si>
    <t>choice</t>
  </si>
  <si>
    <t>education</t>
  </si>
  <si>
    <t>gift</t>
  </si>
  <si>
    <t>impact</t>
  </si>
  <si>
    <t>machine</t>
  </si>
  <si>
    <t>math</t>
  </si>
  <si>
    <t>moment</t>
  </si>
  <si>
    <t>painting</t>
  </si>
  <si>
    <t>politics</t>
  </si>
  <si>
    <t>shape</t>
  </si>
  <si>
    <t>straight</t>
  </si>
  <si>
    <t>tool</t>
  </si>
  <si>
    <t>walk</t>
  </si>
  <si>
    <t>white</t>
  </si>
  <si>
    <t>wind</t>
  </si>
  <si>
    <t>achieve</t>
  </si>
  <si>
    <t>address</t>
  </si>
  <si>
    <t>attention</t>
  </si>
  <si>
    <t>average</t>
  </si>
  <si>
    <t>believe</t>
  </si>
  <si>
    <t>beyond</t>
  </si>
  <si>
    <t>(preposition,noun)</t>
  </si>
  <si>
    <t>career</t>
  </si>
  <si>
    <t>culture</t>
  </si>
  <si>
    <t>decision</t>
  </si>
  <si>
    <t>direct</t>
  </si>
  <si>
    <t>event</t>
  </si>
  <si>
    <t>excellent</t>
  </si>
  <si>
    <t>(adjective,interjection)</t>
  </si>
  <si>
    <t>extra</t>
  </si>
  <si>
    <t>intelligent</t>
  </si>
  <si>
    <t>interesting</t>
  </si>
  <si>
    <t>junior</t>
  </si>
  <si>
    <t>morning</t>
  </si>
  <si>
    <t>pick</t>
  </si>
  <si>
    <t>poor</t>
  </si>
  <si>
    <t>pot</t>
  </si>
  <si>
    <t>pretty</t>
  </si>
  <si>
    <t>property</t>
  </si>
  <si>
    <t>receive</t>
  </si>
  <si>
    <t>seem</t>
  </si>
  <si>
    <t>shopping</t>
  </si>
  <si>
    <t>sign</t>
  </si>
  <si>
    <t>student</t>
  </si>
  <si>
    <t>table</t>
  </si>
  <si>
    <t>task</t>
  </si>
  <si>
    <t>unique</t>
  </si>
  <si>
    <t>wood</t>
  </si>
  <si>
    <t>anything</t>
  </si>
  <si>
    <t>(pronoun,noun,adverb)</t>
  </si>
  <si>
    <t>classic</t>
  </si>
  <si>
    <t>competition</t>
  </si>
  <si>
    <t>condition</t>
  </si>
  <si>
    <t>contact</t>
  </si>
  <si>
    <t>credit</t>
  </si>
  <si>
    <t>currently</t>
  </si>
  <si>
    <t>discuss</t>
  </si>
  <si>
    <t>distribution</t>
  </si>
  <si>
    <t>egg</t>
  </si>
  <si>
    <t>entertainment</t>
  </si>
  <si>
    <t>final</t>
  </si>
  <si>
    <t>happy</t>
  </si>
  <si>
    <t>hope</t>
  </si>
  <si>
    <t>ice</t>
  </si>
  <si>
    <t>lift</t>
  </si>
  <si>
    <t>mix</t>
  </si>
  <si>
    <t>network</t>
  </si>
  <si>
    <t>north</t>
  </si>
  <si>
    <t>(noun,adjective,adverb)</t>
  </si>
  <si>
    <t>office</t>
  </si>
  <si>
    <t>overall</t>
  </si>
  <si>
    <t>population</t>
  </si>
  <si>
    <t>president</t>
  </si>
  <si>
    <t>private</t>
  </si>
  <si>
    <t>realize</t>
  </si>
  <si>
    <t>responsible</t>
  </si>
  <si>
    <t>separate</t>
  </si>
  <si>
    <t>square</t>
  </si>
  <si>
    <t>stop</t>
  </si>
  <si>
    <t>teach</t>
  </si>
  <si>
    <t>unit</t>
  </si>
  <si>
    <t>western</t>
  </si>
  <si>
    <t>yes</t>
  </si>
  <si>
    <t>alone</t>
  </si>
  <si>
    <t>attempt</t>
  </si>
  <si>
    <t>category</t>
  </si>
  <si>
    <t>cigarette</t>
  </si>
  <si>
    <t>concern</t>
  </si>
  <si>
    <t>contain</t>
  </si>
  <si>
    <t>context</t>
  </si>
  <si>
    <t>cute</t>
  </si>
  <si>
    <t>date</t>
  </si>
  <si>
    <t>effect</t>
  </si>
  <si>
    <t>extremely</t>
  </si>
  <si>
    <t>familiar</t>
  </si>
  <si>
    <t>finally</t>
  </si>
  <si>
    <t>fly</t>
  </si>
  <si>
    <t>follow</t>
  </si>
  <si>
    <t>helpful</t>
  </si>
  <si>
    <t>introduction</t>
  </si>
  <si>
    <t>link</t>
  </si>
  <si>
    <t>official</t>
  </si>
  <si>
    <t>opportunity</t>
  </si>
  <si>
    <t>perfect</t>
  </si>
  <si>
    <t>performance</t>
  </si>
  <si>
    <t>post</t>
  </si>
  <si>
    <t>recent</t>
  </si>
  <si>
    <t>refer</t>
  </si>
  <si>
    <t>solve</t>
  </si>
  <si>
    <t>star</t>
  </si>
  <si>
    <t>voice</t>
  </si>
  <si>
    <t>willing</t>
  </si>
  <si>
    <t>born</t>
  </si>
  <si>
    <t>(verb,adjective,past particple)</t>
  </si>
  <si>
    <t>bright</t>
  </si>
  <si>
    <t>broad</t>
  </si>
  <si>
    <t>capital</t>
  </si>
  <si>
    <t>challenge</t>
  </si>
  <si>
    <t>comfortable</t>
  </si>
  <si>
    <t>constantly</t>
  </si>
  <si>
    <t>describe</t>
  </si>
  <si>
    <t>despite</t>
  </si>
  <si>
    <t>driver</t>
  </si>
  <si>
    <t>flat</t>
  </si>
  <si>
    <t>flight</t>
  </si>
  <si>
    <t>friend</t>
  </si>
  <si>
    <t>gain</t>
  </si>
  <si>
    <t>him</t>
  </si>
  <si>
    <t>length</t>
  </si>
  <si>
    <t>magazine</t>
  </si>
  <si>
    <t>maybe</t>
  </si>
  <si>
    <t>newspaper</t>
  </si>
  <si>
    <t>nice</t>
  </si>
  <si>
    <t>prefer</t>
  </si>
  <si>
    <t>prevent</t>
  </si>
  <si>
    <t>properly</t>
  </si>
  <si>
    <t>relationship</t>
  </si>
  <si>
    <t>rich</t>
  </si>
  <si>
    <t>save</t>
  </si>
  <si>
    <t>(verb,noun,preposition)</t>
  </si>
  <si>
    <t>self</t>
  </si>
  <si>
    <t>(noun,pronoun,adjective,verb)</t>
  </si>
  <si>
    <t>shot</t>
  </si>
  <si>
    <t>soon</t>
  </si>
  <si>
    <t>specifically</t>
  </si>
  <si>
    <t>stand</t>
  </si>
  <si>
    <t>teaching</t>
  </si>
  <si>
    <t>warm</t>
  </si>
  <si>
    <t>wonderful</t>
  </si>
  <si>
    <t>young</t>
  </si>
  <si>
    <t>ahead</t>
  </si>
  <si>
    <t>brush</t>
  </si>
  <si>
    <t>cell</t>
  </si>
  <si>
    <t>couple</t>
  </si>
  <si>
    <t>daily</t>
  </si>
  <si>
    <t>dealer</t>
  </si>
  <si>
    <t>debate</t>
  </si>
  <si>
    <t>discover</t>
  </si>
  <si>
    <t>ensure</t>
  </si>
  <si>
    <t>exit</t>
  </si>
  <si>
    <t>expect</t>
  </si>
  <si>
    <t>experienced</t>
  </si>
  <si>
    <t>fail</t>
  </si>
  <si>
    <t>finding</t>
  </si>
  <si>
    <t>front</t>
  </si>
  <si>
    <t>(noun,adjective,verb,interjection)</t>
  </si>
  <si>
    <t>function</t>
  </si>
  <si>
    <t>heavy</t>
  </si>
  <si>
    <t>hello</t>
  </si>
  <si>
    <t>(interjection,noun)</t>
  </si>
  <si>
    <t>highly</t>
  </si>
  <si>
    <t>immediately</t>
  </si>
  <si>
    <t>impossible</t>
  </si>
  <si>
    <t>invest</t>
  </si>
  <si>
    <t>lack</t>
  </si>
  <si>
    <t>lake</t>
  </si>
  <si>
    <t>lead</t>
  </si>
  <si>
    <t>listen</t>
  </si>
  <si>
    <t>living</t>
  </si>
  <si>
    <t>member</t>
  </si>
  <si>
    <t>message</t>
  </si>
  <si>
    <t>phone</t>
  </si>
  <si>
    <t>plant</t>
  </si>
  <si>
    <t>plastic</t>
  </si>
  <si>
    <t>reduce</t>
  </si>
  <si>
    <t>relatively</t>
  </si>
  <si>
    <t>scene</t>
  </si>
  <si>
    <t>serious</t>
  </si>
  <si>
    <t>slowly</t>
  </si>
  <si>
    <t>speak</t>
  </si>
  <si>
    <t>spot</t>
  </si>
  <si>
    <t>summer</t>
  </si>
  <si>
    <t>taste</t>
  </si>
  <si>
    <t>theme</t>
  </si>
  <si>
    <t>towards</t>
  </si>
  <si>
    <t>track</t>
  </si>
  <si>
    <t>valuable</t>
  </si>
  <si>
    <t>whatever</t>
  </si>
  <si>
    <t>(pronoun,adverb,interjection)</t>
  </si>
  <si>
    <t>wing</t>
  </si>
  <si>
    <t>worry</t>
  </si>
  <si>
    <t>appear</t>
  </si>
  <si>
    <t>appearance</t>
  </si>
  <si>
    <t>association</t>
  </si>
  <si>
    <t>brain</t>
  </si>
  <si>
    <t>button</t>
  </si>
  <si>
    <t>click</t>
  </si>
  <si>
    <t>concept</t>
  </si>
  <si>
    <t>correct</t>
  </si>
  <si>
    <t>customer</t>
  </si>
  <si>
    <t>death</t>
  </si>
  <si>
    <t>desire</t>
  </si>
  <si>
    <t>discussion</t>
  </si>
  <si>
    <t>explain</t>
  </si>
  <si>
    <t>explore</t>
  </si>
  <si>
    <t>express</t>
  </si>
  <si>
    <t>(verb,adjective,adverb,noun)</t>
  </si>
  <si>
    <t>fairly</t>
  </si>
  <si>
    <t>fixed</t>
  </si>
  <si>
    <t>foot</t>
  </si>
  <si>
    <t>gas</t>
  </si>
  <si>
    <t>handle</t>
  </si>
  <si>
    <t>housing</t>
  </si>
  <si>
    <t>huge</t>
  </si>
  <si>
    <t>inflation</t>
  </si>
  <si>
    <t>influence</t>
  </si>
  <si>
    <t>insurance</t>
  </si>
  <si>
    <t>involve</t>
  </si>
  <si>
    <t>leading</t>
  </si>
  <si>
    <t>lose</t>
  </si>
  <si>
    <t>meet</t>
  </si>
  <si>
    <t>mood</t>
  </si>
  <si>
    <t>notice</t>
  </si>
  <si>
    <t>primarily</t>
  </si>
  <si>
    <t>rain</t>
  </si>
  <si>
    <t>rare</t>
  </si>
  <si>
    <t>release</t>
  </si>
  <si>
    <t>sell</t>
  </si>
  <si>
    <t>slow</t>
  </si>
  <si>
    <t>technical</t>
  </si>
  <si>
    <t>typical</t>
  </si>
  <si>
    <t>upon</t>
  </si>
  <si>
    <t>wall</t>
  </si>
  <si>
    <t>woman</t>
  </si>
  <si>
    <t>advice</t>
  </si>
  <si>
    <t>afford</t>
  </si>
  <si>
    <t>agree</t>
  </si>
  <si>
    <t>base</t>
  </si>
  <si>
    <t>blood</t>
  </si>
  <si>
    <t>clean</t>
  </si>
  <si>
    <t>competitive</t>
  </si>
  <si>
    <t>completely</t>
  </si>
  <si>
    <t>critical</t>
  </si>
  <si>
    <t>damage</t>
  </si>
  <si>
    <t>distance</t>
  </si>
  <si>
    <t>effort</t>
  </si>
  <si>
    <t>electronic</t>
  </si>
  <si>
    <t>expression</t>
  </si>
  <si>
    <t>feeling</t>
  </si>
  <si>
    <t>finish</t>
  </si>
  <si>
    <t>fresh</t>
  </si>
  <si>
    <t>hear</t>
  </si>
  <si>
    <t>immediate</t>
  </si>
  <si>
    <t>importance</t>
  </si>
  <si>
    <t>normal</t>
  </si>
  <si>
    <t>opinion</t>
  </si>
  <si>
    <t>otherwise</t>
  </si>
  <si>
    <t>pair</t>
  </si>
  <si>
    <t>payment</t>
  </si>
  <si>
    <t>plus</t>
  </si>
  <si>
    <t>(preposition,adjective,noun,conjunction)</t>
  </si>
  <si>
    <t>press</t>
  </si>
  <si>
    <t>reality</t>
  </si>
  <si>
    <t>remain</t>
  </si>
  <si>
    <t>represent</t>
  </si>
  <si>
    <t>responsibility</t>
  </si>
  <si>
    <t>ride</t>
  </si>
  <si>
    <t>savings</t>
  </si>
  <si>
    <t>secret</t>
  </si>
  <si>
    <t>situation</t>
  </si>
  <si>
    <t>skill</t>
  </si>
  <si>
    <t>spread</t>
  </si>
  <si>
    <t>spring</t>
  </si>
  <si>
    <t>staff</t>
  </si>
  <si>
    <t>statement</t>
  </si>
  <si>
    <t>sugar</t>
  </si>
  <si>
    <t>target</t>
  </si>
  <si>
    <t>text</t>
  </si>
  <si>
    <t>tough</t>
  </si>
  <si>
    <t>ultimately</t>
  </si>
  <si>
    <t>wait</t>
  </si>
  <si>
    <t>wealth</t>
  </si>
  <si>
    <t>whenever</t>
  </si>
  <si>
    <t>whose</t>
  </si>
  <si>
    <t>widely</t>
  </si>
  <si>
    <t>animal</t>
  </si>
  <si>
    <t>application</t>
  </si>
  <si>
    <t>apply</t>
  </si>
  <si>
    <t>author</t>
  </si>
  <si>
    <t>aware</t>
  </si>
  <si>
    <t>brown</t>
  </si>
  <si>
    <t>budget</t>
  </si>
  <si>
    <t>cheap</t>
  </si>
  <si>
    <t>city</t>
  </si>
  <si>
    <t>complicated</t>
  </si>
  <si>
    <t>county</t>
  </si>
  <si>
    <t>deep</t>
  </si>
  <si>
    <t>depth</t>
  </si>
  <si>
    <t>discount</t>
  </si>
  <si>
    <t>display</t>
  </si>
  <si>
    <t>educational</t>
  </si>
  <si>
    <t>environmental</t>
  </si>
  <si>
    <t>estate</t>
  </si>
  <si>
    <t>file</t>
  </si>
  <si>
    <t>flow</t>
  </si>
  <si>
    <t>forget</t>
  </si>
  <si>
    <t>foundation</t>
  </si>
  <si>
    <t>global</t>
  </si>
  <si>
    <t>grandmother</t>
  </si>
  <si>
    <t>ground</t>
  </si>
  <si>
    <t>heart</t>
  </si>
  <si>
    <t>hit</t>
  </si>
  <si>
    <t>legal</t>
  </si>
  <si>
    <t>lesson</t>
  </si>
  <si>
    <t>minute</t>
  </si>
  <si>
    <t>near</t>
  </si>
  <si>
    <t>objective</t>
  </si>
  <si>
    <t>officer</t>
  </si>
  <si>
    <t>perspective</t>
  </si>
  <si>
    <t>phase</t>
  </si>
  <si>
    <t>photo</t>
  </si>
  <si>
    <t>recently</t>
  </si>
  <si>
    <t>recipe</t>
  </si>
  <si>
    <t>recommend</t>
  </si>
  <si>
    <t>reference</t>
  </si>
  <si>
    <t>register</t>
  </si>
  <si>
    <t>relevant</t>
  </si>
  <si>
    <t>rely</t>
  </si>
  <si>
    <t>secure</t>
  </si>
  <si>
    <t>seriously</t>
  </si>
  <si>
    <t>shoot</t>
  </si>
  <si>
    <t>sky</t>
  </si>
  <si>
    <t>stage</t>
  </si>
  <si>
    <t>stick</t>
  </si>
  <si>
    <t>studio</t>
  </si>
  <si>
    <t>thin</t>
  </si>
  <si>
    <t>title</t>
  </si>
  <si>
    <t>topic</t>
  </si>
  <si>
    <t>touch</t>
  </si>
  <si>
    <t>trouble</t>
  </si>
  <si>
    <t>vary</t>
  </si>
  <si>
    <t>accurate</t>
  </si>
  <si>
    <t>advanced</t>
  </si>
  <si>
    <t>(past,verb,adjective,noun)</t>
  </si>
  <si>
    <t>bowl</t>
  </si>
  <si>
    <t>bridge</t>
  </si>
  <si>
    <t>campaign</t>
  </si>
  <si>
    <t>cancel</t>
  </si>
  <si>
    <t>capable</t>
  </si>
  <si>
    <t>character</t>
  </si>
  <si>
    <t>chemical</t>
  </si>
  <si>
    <t>club</t>
  </si>
  <si>
    <t>collection</t>
  </si>
  <si>
    <t>cool</t>
  </si>
  <si>
    <t>cry</t>
  </si>
  <si>
    <t>(verb,noun,idiom)</t>
  </si>
  <si>
    <t>dangerous</t>
  </si>
  <si>
    <t>depression</t>
  </si>
  <si>
    <t>dump</t>
  </si>
  <si>
    <t>edge</t>
  </si>
  <si>
    <t>(noun,verb,idiom)</t>
  </si>
  <si>
    <t>evidence</t>
  </si>
  <si>
    <t>extreme</t>
  </si>
  <si>
    <t>fan</t>
  </si>
  <si>
    <t>frequently</t>
  </si>
  <si>
    <t>fully</t>
  </si>
  <si>
    <t>generate</t>
  </si>
  <si>
    <t>imagination</t>
  </si>
  <si>
    <t>letter</t>
  </si>
  <si>
    <t>lock</t>
  </si>
  <si>
    <t>maximum</t>
  </si>
  <si>
    <t>mostly</t>
  </si>
  <si>
    <t>myself</t>
  </si>
  <si>
    <t>naturally</t>
  </si>
  <si>
    <t>nearly</t>
  </si>
  <si>
    <t>novel</t>
  </si>
  <si>
    <t>obtain</t>
  </si>
  <si>
    <t>occasionally</t>
  </si>
  <si>
    <t>option</t>
  </si>
  <si>
    <t>organized</t>
  </si>
  <si>
    <t>pack</t>
  </si>
  <si>
    <t>(noun,verb,adjective,idiom)</t>
  </si>
  <si>
    <t>park</t>
  </si>
  <si>
    <t>passion</t>
  </si>
  <si>
    <t>percentage</t>
  </si>
  <si>
    <t>plenty</t>
  </si>
  <si>
    <t>push</t>
  </si>
  <si>
    <t>quarter</t>
  </si>
  <si>
    <t>resource</t>
  </si>
  <si>
    <t>select</t>
  </si>
  <si>
    <t>setting</t>
  </si>
  <si>
    <t>skin</t>
  </si>
  <si>
    <t>sort</t>
  </si>
  <si>
    <t>weight</t>
  </si>
  <si>
    <t>accept</t>
  </si>
  <si>
    <t>ad</t>
  </si>
  <si>
    <t>agency</t>
  </si>
  <si>
    <t>baby</t>
  </si>
  <si>
    <t>background</t>
  </si>
  <si>
    <t>carefully</t>
  </si>
  <si>
    <t>carry</t>
  </si>
  <si>
    <t>clearly</t>
  </si>
  <si>
    <t>college</t>
  </si>
  <si>
    <t>communicate</t>
  </si>
  <si>
    <t>complain</t>
  </si>
  <si>
    <t>conflict</t>
  </si>
  <si>
    <t>connection</t>
  </si>
  <si>
    <t>criticism</t>
  </si>
  <si>
    <t>debt</t>
  </si>
  <si>
    <t>depend</t>
  </si>
  <si>
    <t>description</t>
  </si>
  <si>
    <t>die</t>
  </si>
  <si>
    <t>(verb,idiom)</t>
  </si>
  <si>
    <t>dish</t>
  </si>
  <si>
    <t>dramatic</t>
  </si>
  <si>
    <t>eat</t>
  </si>
  <si>
    <t>efficient</t>
  </si>
  <si>
    <t>enter</t>
  </si>
  <si>
    <t>essentially</t>
  </si>
  <si>
    <t>exact</t>
  </si>
  <si>
    <t>factor</t>
  </si>
  <si>
    <t>fair</t>
  </si>
  <si>
    <t>(adjective,adverb,noun,idiom)</t>
  </si>
  <si>
    <t>fill</t>
  </si>
  <si>
    <t>fine</t>
  </si>
  <si>
    <t>formal</t>
  </si>
  <si>
    <t>forward</t>
  </si>
  <si>
    <t>(adverb,adjective,noun,verb)</t>
  </si>
  <si>
    <t>fruit</t>
  </si>
  <si>
    <t>glass</t>
  </si>
  <si>
    <t>(noun,adjective,verb)٥</t>
  </si>
  <si>
    <t>happen</t>
  </si>
  <si>
    <t>indicate</t>
  </si>
  <si>
    <t>joint</t>
  </si>
  <si>
    <t>(noun,adjective,verb,idiom)</t>
  </si>
  <si>
    <t>jump</t>
  </si>
  <si>
    <t>(verb,noun,adjective,adverb)</t>
  </si>
  <si>
    <t>kick</t>
  </si>
  <si>
    <t>master</t>
  </si>
  <si>
    <t>memory</t>
  </si>
  <si>
    <t>muscle</t>
  </si>
  <si>
    <t>opposite</t>
  </si>
  <si>
    <t>pass</t>
  </si>
  <si>
    <t>patience</t>
  </si>
  <si>
    <t>pitch</t>
  </si>
  <si>
    <t>possibly</t>
  </si>
  <si>
    <t>powerful</t>
  </si>
  <si>
    <t>red</t>
  </si>
  <si>
    <t>(noun,adjective,idiom)</t>
  </si>
  <si>
    <t>remote</t>
  </si>
  <si>
    <t>secretary</t>
  </si>
  <si>
    <t>slightly</t>
  </si>
  <si>
    <t>solution</t>
  </si>
  <si>
    <t>somewhat</t>
  </si>
  <si>
    <t>strength</t>
  </si>
  <si>
    <t>(noun,idiom)</t>
  </si>
  <si>
    <t>suggest</t>
  </si>
  <si>
    <t>survive</t>
  </si>
  <si>
    <t>total</t>
  </si>
  <si>
    <t>traffic</t>
  </si>
  <si>
    <t>treat</t>
  </si>
  <si>
    <t>trip</t>
  </si>
  <si>
    <t>vast</t>
  </si>
  <si>
    <t>vegetable</t>
  </si>
  <si>
    <t>abuse</t>
  </si>
  <si>
    <t>administration</t>
  </si>
  <si>
    <t>appeal</t>
  </si>
  <si>
    <t>appreciate</t>
  </si>
  <si>
    <t>aspect</t>
  </si>
  <si>
    <t>attitude</t>
  </si>
  <si>
    <t>beat</t>
  </si>
  <si>
    <t>burn</t>
  </si>
  <si>
    <t>chart</t>
  </si>
  <si>
    <t>compare</t>
  </si>
  <si>
    <t>deposit</t>
  </si>
  <si>
    <t>director</t>
  </si>
  <si>
    <t>equally</t>
  </si>
  <si>
    <t>foreign</t>
  </si>
  <si>
    <t>gear</t>
  </si>
  <si>
    <t>greatly</t>
  </si>
  <si>
    <t>hungry</t>
  </si>
  <si>
    <t>ideal</t>
  </si>
  <si>
    <t>imagine</t>
  </si>
  <si>
    <t>kitchen</t>
  </si>
  <si>
    <t>land</t>
  </si>
  <si>
    <t>log</t>
  </si>
  <si>
    <t>lost</t>
  </si>
  <si>
    <t>(adjective,verb,idiom)</t>
  </si>
  <si>
    <t>manage</t>
  </si>
  <si>
    <t>mother</t>
  </si>
  <si>
    <t>necessarily</t>
  </si>
  <si>
    <t>net</t>
  </si>
  <si>
    <t>party</t>
  </si>
  <si>
    <t>personality</t>
  </si>
  <si>
    <t>personally</t>
  </si>
  <si>
    <t>practical</t>
  </si>
  <si>
    <t>principle</t>
  </si>
  <si>
    <t>print</t>
  </si>
  <si>
    <t>(verb,noun,adjective,idiom)</t>
  </si>
  <si>
    <t>psychological</t>
  </si>
  <si>
    <t>psychology</t>
  </si>
  <si>
    <t>raise</t>
  </si>
  <si>
    <t>rarely</t>
  </si>
  <si>
    <t>recommendation</t>
  </si>
  <si>
    <t>regularly</t>
  </si>
  <si>
    <t>relative</t>
  </si>
  <si>
    <t>response</t>
  </si>
  <si>
    <t>sale</t>
  </si>
  <si>
    <t>season</t>
  </si>
  <si>
    <t>selection</t>
  </si>
  <si>
    <t>severe</t>
  </si>
  <si>
    <t>signal</t>
  </si>
  <si>
    <t>similarly</t>
  </si>
  <si>
    <t>sleep</t>
  </si>
  <si>
    <t>smooth</t>
  </si>
  <si>
    <t>somewhere</t>
  </si>
  <si>
    <t>spirit</t>
  </si>
  <si>
    <t>storage</t>
  </si>
  <si>
    <t>street</t>
  </si>
  <si>
    <t>suitable</t>
  </si>
  <si>
    <t>tree</t>
  </si>
  <si>
    <t>version</t>
  </si>
  <si>
    <t>wave</t>
  </si>
  <si>
    <t>advance</t>
  </si>
  <si>
    <t>alcohol</t>
  </si>
  <si>
    <t>anywhere</t>
  </si>
  <si>
    <t>argument</t>
  </si>
  <si>
    <t>basically</t>
  </si>
  <si>
    <t>belt</t>
  </si>
  <si>
    <t>bench</t>
  </si>
  <si>
    <t>closed</t>
  </si>
  <si>
    <t>closely</t>
  </si>
  <si>
    <t>commission</t>
  </si>
  <si>
    <t>complaint</t>
  </si>
  <si>
    <t>connect</t>
  </si>
  <si>
    <t>consist</t>
  </si>
  <si>
    <t>contract</t>
  </si>
  <si>
    <t>contribute</t>
  </si>
  <si>
    <t>copy</t>
  </si>
  <si>
    <t>dark</t>
  </si>
  <si>
    <t>(adjective,noun,idiom)</t>
  </si>
  <si>
    <t>differ</t>
  </si>
  <si>
    <t>double</t>
  </si>
  <si>
    <t>(adjective,noun,verb,adverb)</t>
  </si>
  <si>
    <t>draw</t>
  </si>
  <si>
    <t>drop</t>
  </si>
  <si>
    <t>effectively</t>
  </si>
  <si>
    <t>emphasis</t>
  </si>
  <si>
    <t>encourage</t>
  </si>
  <si>
    <t>equal</t>
  </si>
  <si>
    <t>everybody</t>
  </si>
  <si>
    <t>expand</t>
  </si>
  <si>
    <t>firm</t>
  </si>
  <si>
    <t>(adjective,verb,adverb,noun)</t>
  </si>
  <si>
    <t>fix</t>
  </si>
  <si>
    <t>frequent</t>
  </si>
  <si>
    <t>highway</t>
  </si>
  <si>
    <t>hire</t>
  </si>
  <si>
    <t>initially</t>
  </si>
  <si>
    <t>internal</t>
  </si>
  <si>
    <t>join</t>
  </si>
  <si>
    <t>kill</t>
  </si>
  <si>
    <t>literally</t>
  </si>
  <si>
    <t>loss</t>
  </si>
  <si>
    <t>mainly</t>
  </si>
  <si>
    <t>membership</t>
  </si>
  <si>
    <t>merely</t>
  </si>
  <si>
    <t>minimum</t>
  </si>
  <si>
    <t>numerous</t>
  </si>
  <si>
    <t>path</t>
  </si>
  <si>
    <t>possession</t>
  </si>
  <si>
    <t>preparation</t>
  </si>
  <si>
    <t>progress</t>
  </si>
  <si>
    <t>project</t>
  </si>
  <si>
    <t>prove</t>
  </si>
  <si>
    <t>react</t>
  </si>
  <si>
    <t>recognize</t>
  </si>
  <si>
    <t>relax</t>
  </si>
  <si>
    <t>replace</t>
  </si>
  <si>
    <t>sea</t>
  </si>
  <si>
    <t>sensitive</t>
  </si>
  <si>
    <t>sit</t>
  </si>
  <si>
    <t>south</t>
  </si>
  <si>
    <t>status</t>
  </si>
  <si>
    <t>steak</t>
  </si>
  <si>
    <t>stuff</t>
  </si>
  <si>
    <t>sufficient</t>
  </si>
  <si>
    <t>tap</t>
  </si>
  <si>
    <t>ticket</t>
  </si>
  <si>
    <t>tour</t>
  </si>
  <si>
    <t>union</t>
  </si>
  <si>
    <t>unusual</t>
  </si>
  <si>
    <t>win</t>
  </si>
  <si>
    <t>agreement</t>
  </si>
  <si>
    <t>angle</t>
  </si>
  <si>
    <t>attack</t>
  </si>
  <si>
    <t>blue</t>
  </si>
  <si>
    <t>borrow</t>
  </si>
  <si>
    <t>breakfast</t>
  </si>
  <si>
    <t>cancer</t>
  </si>
  <si>
    <t>claim</t>
  </si>
  <si>
    <t>confidence</t>
  </si>
  <si>
    <t>consistent</t>
  </si>
  <si>
    <t>constant</t>
  </si>
  <si>
    <t>cultural</t>
  </si>
  <si>
    <t>currency</t>
  </si>
  <si>
    <t>daughter</t>
  </si>
  <si>
    <t>degree</t>
  </si>
  <si>
    <t>doctor</t>
  </si>
  <si>
    <t>dot</t>
  </si>
  <si>
    <t>drag</t>
  </si>
  <si>
    <t>dream</t>
  </si>
  <si>
    <t>drink</t>
  </si>
  <si>
    <t>قال</t>
  </si>
  <si>
    <t>duty</t>
  </si>
  <si>
    <t>earn</t>
  </si>
  <si>
    <t>emphasize</t>
  </si>
  <si>
    <t>employment</t>
  </si>
  <si>
    <t>enable</t>
  </si>
  <si>
    <t>engineering</t>
  </si>
  <si>
    <t>entry</t>
  </si>
  <si>
    <t>essay</t>
  </si>
  <si>
    <t>existing</t>
  </si>
  <si>
    <t>famous</t>
  </si>
  <si>
    <t>father</t>
  </si>
  <si>
    <t>fee</t>
  </si>
  <si>
    <t>finance</t>
  </si>
  <si>
    <t>gently</t>
  </si>
  <si>
    <t>guess</t>
  </si>
  <si>
    <t>hopefully</t>
  </si>
  <si>
    <t>hour</t>
  </si>
  <si>
    <t>interaction</t>
  </si>
  <si>
    <t>juice</t>
  </si>
  <si>
    <t>limit</t>
  </si>
  <si>
    <t>luck</t>
  </si>
  <si>
    <t>milk</t>
  </si>
  <si>
    <t>minor</t>
  </si>
  <si>
    <t>mixed</t>
  </si>
  <si>
    <t>mouth</t>
  </si>
  <si>
    <t>nor</t>
  </si>
  <si>
    <t>operate</t>
  </si>
  <si>
    <t>originally</t>
  </si>
  <si>
    <t>peace</t>
  </si>
  <si>
    <t>(noun,interjection,verb,idiom)</t>
  </si>
  <si>
    <t>pipe</t>
  </si>
  <si>
    <t>please</t>
  </si>
  <si>
    <t>(adverb,verb,idiom)</t>
  </si>
  <si>
    <t>preference</t>
  </si>
  <si>
    <t>mixture</t>
  </si>
  <si>
    <t>previous</t>
  </si>
  <si>
    <t>(adjective,idiom)</t>
  </si>
  <si>
    <t>pull</t>
  </si>
  <si>
    <t>pure</t>
  </si>
  <si>
    <t>raw</t>
  </si>
  <si>
    <t>reflect</t>
  </si>
  <si>
    <t>region</t>
  </si>
  <si>
    <t>republic</t>
  </si>
  <si>
    <t>roughly</t>
  </si>
  <si>
    <t>seat</t>
  </si>
  <si>
    <t>send</t>
  </si>
  <si>
    <t>significantly</t>
  </si>
  <si>
    <t>soft</t>
  </si>
  <si>
    <t>solid</t>
  </si>
  <si>
    <t>stable</t>
  </si>
  <si>
    <t>storm</t>
  </si>
  <si>
    <t>substance</t>
  </si>
  <si>
    <t>team</t>
  </si>
  <si>
    <t>tradition</t>
  </si>
  <si>
    <t>trick</t>
  </si>
  <si>
    <t>virus</t>
  </si>
  <si>
    <t>wear</t>
  </si>
  <si>
    <t>weird</t>
  </si>
  <si>
    <t>wonder</t>
  </si>
  <si>
    <t>actor</t>
  </si>
  <si>
    <t>afraid</t>
  </si>
  <si>
    <t>afternoon</t>
  </si>
  <si>
    <t>amazing</t>
  </si>
  <si>
    <t>annual</t>
  </si>
  <si>
    <t>anticipate</t>
  </si>
  <si>
    <t>assume</t>
  </si>
  <si>
    <t>bat</t>
  </si>
  <si>
    <t>beach</t>
  </si>
  <si>
    <t>blank</t>
  </si>
  <si>
    <t>busy</t>
  </si>
  <si>
    <t>catch</t>
  </si>
  <si>
    <t>chain</t>
  </si>
  <si>
    <t>classroom</t>
  </si>
  <si>
    <t>consideration</t>
  </si>
  <si>
    <t>count</t>
  </si>
  <si>
    <t>cream</t>
  </si>
  <si>
    <t>crew</t>
  </si>
  <si>
    <t>dead</t>
  </si>
  <si>
    <t>(adjective,noun,adverb,idiom)</t>
  </si>
  <si>
    <t>delivery</t>
  </si>
  <si>
    <t>detail</t>
  </si>
  <si>
    <t>detailed</t>
  </si>
  <si>
    <t>device</t>
  </si>
  <si>
    <t>difficulty</t>
  </si>
  <si>
    <t>doubt</t>
  </si>
  <si>
    <t>drama</t>
  </si>
  <si>
    <t>election</t>
  </si>
  <si>
    <t>engage</t>
  </si>
  <si>
    <t>engine</t>
  </si>
  <si>
    <t>enhance</t>
  </si>
  <si>
    <t>examine</t>
  </si>
  <si>
    <t>(adjective,adverb,idiom)</t>
  </si>
  <si>
    <t>feed</t>
  </si>
  <si>
    <t>football</t>
  </si>
  <si>
    <t>forever</t>
  </si>
  <si>
    <t>(adverb,noun,idiom)</t>
  </si>
  <si>
    <t>gold</t>
  </si>
  <si>
    <t>guidance</t>
  </si>
  <si>
    <t>hotel</t>
  </si>
  <si>
    <t>impress</t>
  </si>
  <si>
    <t>install</t>
  </si>
  <si>
    <t>interview</t>
  </si>
  <si>
    <t>kid</t>
  </si>
  <si>
    <t>mark</t>
  </si>
  <si>
    <t>match</t>
  </si>
  <si>
    <t>mission</t>
  </si>
  <si>
    <t>nobody</t>
  </si>
  <si>
    <t>obvious</t>
  </si>
  <si>
    <t>ourselves</t>
  </si>
  <si>
    <t>owner</t>
  </si>
  <si>
    <t>pain</t>
  </si>
  <si>
    <t>participate</t>
  </si>
  <si>
    <t>pleasure</t>
  </si>
  <si>
    <t>priority</t>
  </si>
  <si>
    <t>protection</t>
  </si>
  <si>
    <t>repeat</t>
  </si>
  <si>
    <t>round</t>
  </si>
  <si>
    <t>score</t>
  </si>
  <si>
    <t>screw</t>
  </si>
  <si>
    <t>seek</t>
  </si>
  <si>
    <t>sex</t>
  </si>
  <si>
    <t>sharp</t>
  </si>
  <si>
    <t>shop</t>
  </si>
  <si>
    <t>(noun,verb,interjection,idiom)</t>
  </si>
  <si>
    <t>shower</t>
  </si>
  <si>
    <t>sing</t>
  </si>
  <si>
    <t>slide</t>
  </si>
  <si>
    <t>strip</t>
  </si>
  <si>
    <t>suggestion</t>
  </si>
  <si>
    <t>suit</t>
  </si>
  <si>
    <t>tension</t>
  </si>
  <si>
    <t>thick</t>
  </si>
  <si>
    <t>tone</t>
  </si>
  <si>
    <t>totally</t>
  </si>
  <si>
    <t>twice</t>
  </si>
  <si>
    <t>variation</t>
  </si>
  <si>
    <t>whereas</t>
  </si>
  <si>
    <t>window</t>
  </si>
  <si>
    <t>wise</t>
  </si>
  <si>
    <t>wish</t>
  </si>
  <si>
    <t>agent</t>
  </si>
  <si>
    <t>anxiety</t>
  </si>
  <si>
    <t>atmosphere</t>
  </si>
  <si>
    <t>awareness</t>
  </si>
  <si>
    <t>band</t>
  </si>
  <si>
    <t>bath</t>
  </si>
  <si>
    <t>block</t>
  </si>
  <si>
    <t>bone</t>
  </si>
  <si>
    <t>bread</t>
  </si>
  <si>
    <t>calendar</t>
  </si>
  <si>
    <t>candidate</t>
  </si>
  <si>
    <t>cap</t>
  </si>
  <si>
    <t>careful</t>
  </si>
  <si>
    <t>climate</t>
  </si>
  <si>
    <t>coat</t>
  </si>
  <si>
    <t>collect</t>
  </si>
  <si>
    <t>(verb,adverb,noun)</t>
  </si>
  <si>
    <t>combine</t>
  </si>
  <si>
    <t>command</t>
  </si>
  <si>
    <t>comparison</t>
  </si>
  <si>
    <t>confusion</t>
  </si>
  <si>
    <t>construction</t>
  </si>
  <si>
    <t>contest</t>
  </si>
  <si>
    <t>corner</t>
  </si>
  <si>
    <t>court</t>
  </si>
  <si>
    <t>cup</t>
  </si>
  <si>
    <t>dig</t>
  </si>
  <si>
    <t>district</t>
  </si>
  <si>
    <t>divide</t>
  </si>
  <si>
    <t>door</t>
  </si>
  <si>
    <t>east</t>
  </si>
  <si>
    <t>elevator</t>
  </si>
  <si>
    <t>elsewhere</t>
  </si>
  <si>
    <t>emotion</t>
  </si>
  <si>
    <t>employee</t>
  </si>
  <si>
    <t>employer</t>
  </si>
  <si>
    <t>equivalent</t>
  </si>
  <si>
    <t>everywhere</t>
  </si>
  <si>
    <t>except</t>
  </si>
  <si>
    <t>(preposition,conjunction,idiom)</t>
  </si>
  <si>
    <t>finger</t>
  </si>
  <si>
    <t>garage</t>
  </si>
  <si>
    <t>guarantee</t>
  </si>
  <si>
    <t>guest</t>
  </si>
  <si>
    <t>hang</t>
  </si>
  <si>
    <t>height</t>
  </si>
  <si>
    <t>himself</t>
  </si>
  <si>
    <t>hole</t>
  </si>
  <si>
    <t>hook</t>
  </si>
  <si>
    <t>hunt</t>
  </si>
  <si>
    <t>implement</t>
  </si>
  <si>
    <t>initial</t>
  </si>
  <si>
    <t>intend</t>
  </si>
  <si>
    <t>introduce</t>
  </si>
  <si>
    <t>latter</t>
  </si>
  <si>
    <t>layer</t>
  </si>
  <si>
    <t>leadership</t>
  </si>
  <si>
    <t>lecture</t>
  </si>
  <si>
    <t>lie</t>
  </si>
  <si>
    <t>mall</t>
  </si>
  <si>
    <t>manager</t>
  </si>
  <si>
    <t>manner</t>
  </si>
  <si>
    <t>march</t>
  </si>
  <si>
    <t>married</t>
  </si>
  <si>
    <t>meeting</t>
  </si>
  <si>
    <t>mention</t>
  </si>
  <si>
    <t>narrow</t>
  </si>
  <si>
    <t>nearby</t>
  </si>
  <si>
    <t>neither</t>
  </si>
  <si>
    <t>(conjunction,adjective,pronoun)</t>
  </si>
  <si>
    <t>nose</t>
  </si>
  <si>
    <t>obviously</t>
  </si>
  <si>
    <t>operation</t>
  </si>
  <si>
    <t>parking</t>
  </si>
  <si>
    <t>partner</t>
  </si>
  <si>
    <t>perfectly</t>
  </si>
  <si>
    <t>physically</t>
  </si>
  <si>
    <t>profile</t>
  </si>
  <si>
    <t>proud</t>
  </si>
  <si>
    <t>recording</t>
  </si>
  <si>
    <t>relate</t>
  </si>
  <si>
    <t>respect</t>
  </si>
  <si>
    <t>rice</t>
  </si>
  <si>
    <t>routine</t>
  </si>
  <si>
    <t>sample</t>
  </si>
  <si>
    <t>schedule</t>
  </si>
  <si>
    <t>settle</t>
  </si>
  <si>
    <t>smell</t>
  </si>
  <si>
    <t>somehow</t>
  </si>
  <si>
    <t>(adverb,idiom)</t>
  </si>
  <si>
    <t>spiritual</t>
  </si>
  <si>
    <t>survey</t>
  </si>
  <si>
    <t>swimming</t>
  </si>
  <si>
    <t>telephone</t>
  </si>
  <si>
    <t>tie</t>
  </si>
  <si>
    <t>tip</t>
  </si>
  <si>
    <t>transportation</t>
  </si>
  <si>
    <t>unhappy</t>
  </si>
  <si>
    <t>wild</t>
  </si>
  <si>
    <t>winter</t>
  </si>
  <si>
    <t>absolutely</t>
  </si>
  <si>
    <t>acceptable</t>
  </si>
  <si>
    <t>adult</t>
  </si>
  <si>
    <t>aggressive</t>
  </si>
  <si>
    <t>airline</t>
  </si>
  <si>
    <t>apart</t>
  </si>
  <si>
    <t>assure</t>
  </si>
  <si>
    <t>attract</t>
  </si>
  <si>
    <t>bag</t>
  </si>
  <si>
    <t>battle</t>
  </si>
  <si>
    <t>bed</t>
  </si>
  <si>
    <t>bill</t>
  </si>
  <si>
    <t>boring</t>
  </si>
  <si>
    <t>bother</t>
  </si>
  <si>
    <t>brief</t>
  </si>
  <si>
    <t>cake</t>
  </si>
  <si>
    <t>charity</t>
  </si>
  <si>
    <t>code</t>
  </si>
  <si>
    <t>cousin</t>
  </si>
  <si>
    <t>crazy</t>
  </si>
  <si>
    <t>curve</t>
  </si>
  <si>
    <t>designer</t>
  </si>
  <si>
    <t>dimension</t>
  </si>
  <si>
    <t>disaster</t>
  </si>
  <si>
    <t>distinct</t>
  </si>
  <si>
    <t>distribute</t>
  </si>
  <si>
    <t>dress</t>
  </si>
  <si>
    <t>ease</t>
  </si>
  <si>
    <t>eastern</t>
  </si>
  <si>
    <t>editor</t>
  </si>
  <si>
    <t>efficiency</t>
  </si>
  <si>
    <t>emergency</t>
  </si>
  <si>
    <t>escape</t>
  </si>
  <si>
    <t>evening</t>
  </si>
  <si>
    <t>excitement</t>
  </si>
  <si>
    <t>expose</t>
  </si>
  <si>
    <t>extension</t>
  </si>
  <si>
    <t>extent</t>
  </si>
  <si>
    <t>farm</t>
  </si>
  <si>
    <t>fight</t>
  </si>
  <si>
    <t>gap</t>
  </si>
  <si>
    <t>gather</t>
  </si>
  <si>
    <t>grade</t>
  </si>
  <si>
    <t>guitar</t>
  </si>
  <si>
    <t>hate</t>
  </si>
  <si>
    <t>holiday</t>
  </si>
  <si>
    <t>homework</t>
  </si>
  <si>
    <t>horror</t>
  </si>
  <si>
    <t>horse</t>
  </si>
  <si>
    <t>host</t>
  </si>
  <si>
    <t>husband</t>
  </si>
  <si>
    <t>leader</t>
  </si>
  <si>
    <t>loan</t>
  </si>
  <si>
    <t>logical</t>
  </si>
  <si>
    <t>mistake</t>
  </si>
  <si>
    <t>mom</t>
  </si>
  <si>
    <t>mountain</t>
  </si>
  <si>
    <t>nail</t>
  </si>
  <si>
    <t>noise</t>
  </si>
  <si>
    <t>none</t>
  </si>
  <si>
    <t>(pronoun,adverb,adjective)</t>
  </si>
  <si>
    <t>occasion</t>
  </si>
  <si>
    <t>outcome</t>
  </si>
  <si>
    <t>overcome</t>
  </si>
  <si>
    <t>owe</t>
  </si>
  <si>
    <t>package</t>
  </si>
  <si>
    <t>patient</t>
  </si>
  <si>
    <t>pause</t>
  </si>
  <si>
    <t>permission</t>
  </si>
  <si>
    <t>phrase</t>
  </si>
  <si>
    <t>presentation</t>
  </si>
  <si>
    <t>prior</t>
  </si>
  <si>
    <t>promotion</t>
  </si>
  <si>
    <t>proof</t>
  </si>
  <si>
    <t>race</t>
  </si>
  <si>
    <t>reasonable</t>
  </si>
  <si>
    <t>reflection</t>
  </si>
  <si>
    <t>refrigerator</t>
  </si>
  <si>
    <t>relief</t>
  </si>
  <si>
    <t>repair</t>
  </si>
  <si>
    <t>resolution</t>
  </si>
  <si>
    <t>revenue</t>
  </si>
  <si>
    <t>rough</t>
  </si>
  <si>
    <t>sad</t>
  </si>
  <si>
    <t>sand</t>
  </si>
  <si>
    <t>scratch</t>
  </si>
  <si>
    <t>sentence</t>
  </si>
  <si>
    <t>session</t>
  </si>
  <si>
    <t>shoulder</t>
  </si>
  <si>
    <t>sick</t>
  </si>
  <si>
    <t>singer</t>
  </si>
  <si>
    <t>smoke</t>
  </si>
  <si>
    <t>stomach</t>
  </si>
  <si>
    <t>strange</t>
  </si>
  <si>
    <t>strict</t>
  </si>
  <si>
    <t>strike</t>
  </si>
  <si>
    <t>string</t>
  </si>
  <si>
    <t>succeed</t>
  </si>
  <si>
    <t>successfully</t>
  </si>
  <si>
    <t>suddenly</t>
  </si>
  <si>
    <t>suffer</t>
  </si>
  <si>
    <t>surprised</t>
  </si>
  <si>
    <t>tennis</t>
  </si>
  <si>
    <t>throw</t>
  </si>
  <si>
    <t>tourist</t>
  </si>
  <si>
    <t>towel</t>
  </si>
  <si>
    <t>truly</t>
  </si>
  <si>
    <t>vacation</t>
  </si>
  <si>
    <t>virtually</t>
  </si>
  <si>
    <t>west</t>
  </si>
  <si>
    <t>(noun,adjective,adverb,idiom)</t>
  </si>
  <si>
    <t>wheel</t>
  </si>
  <si>
    <t>wine</t>
  </si>
  <si>
    <t>acquire</t>
  </si>
  <si>
    <t>adapt</t>
  </si>
  <si>
    <t>adjust</t>
  </si>
  <si>
    <t>administrative</t>
  </si>
  <si>
    <t>altogether</t>
  </si>
  <si>
    <t>anyway</t>
  </si>
  <si>
    <t>argue</t>
  </si>
  <si>
    <t>arise</t>
  </si>
  <si>
    <t>arm</t>
  </si>
  <si>
    <t>aside</t>
  </si>
  <si>
    <t>associate</t>
  </si>
  <si>
    <t>automatic</t>
  </si>
  <si>
    <t>automatically</t>
  </si>
  <si>
    <t>basket</t>
  </si>
  <si>
    <t>bet</t>
  </si>
  <si>
    <t>blow</t>
  </si>
  <si>
    <t>bonus</t>
  </si>
  <si>
    <t>border</t>
  </si>
  <si>
    <t>branch</t>
  </si>
  <si>
    <t>breast</t>
  </si>
  <si>
    <t>brother</t>
  </si>
  <si>
    <t>(noun,interjection)</t>
  </si>
  <si>
    <t>buddy</t>
  </si>
  <si>
    <t>bunch</t>
  </si>
  <si>
    <t>cabinet</t>
  </si>
  <si>
    <t>childhood</t>
  </si>
  <si>
    <t>chip</t>
  </si>
  <si>
    <t>church</t>
  </si>
  <si>
    <t>civil</t>
  </si>
  <si>
    <t>clothes</t>
  </si>
  <si>
    <t>coach</t>
  </si>
  <si>
    <t>coffee</t>
  </si>
  <si>
    <t>confirm</t>
  </si>
  <si>
    <t>cross</t>
  </si>
  <si>
    <t>deeply</t>
  </si>
  <si>
    <t>definitely</t>
  </si>
  <si>
    <t>deliberately</t>
  </si>
  <si>
    <t>dinner</t>
  </si>
  <si>
    <t>document</t>
  </si>
  <si>
    <t>draft</t>
  </si>
  <si>
    <t>drawing</t>
  </si>
  <si>
    <t>dust</t>
  </si>
  <si>
    <t>employ</t>
  </si>
  <si>
    <t>encouraging</t>
  </si>
  <si>
    <t>expert</t>
  </si>
  <si>
    <t>external</t>
  </si>
  <si>
    <t>floor</t>
  </si>
  <si>
    <t>former</t>
  </si>
  <si>
    <t>god</t>
  </si>
  <si>
    <t>golf</t>
  </si>
  <si>
    <t>habit</t>
  </si>
  <si>
    <t>hair</t>
  </si>
  <si>
    <t>hardly</t>
  </si>
  <si>
    <t>hearing</t>
  </si>
  <si>
    <t>hurt</t>
  </si>
  <si>
    <t>illegal</t>
  </si>
  <si>
    <t>incorporate</t>
  </si>
  <si>
    <t>initiative</t>
  </si>
  <si>
    <t>iron</t>
  </si>
  <si>
    <t>judge</t>
  </si>
  <si>
    <t>judgment</t>
  </si>
  <si>
    <t>justify</t>
  </si>
  <si>
    <t>knife</t>
  </si>
  <si>
    <t>lab</t>
  </si>
  <si>
    <t>landscape</t>
  </si>
  <si>
    <t>laugh</t>
  </si>
  <si>
    <t>lay</t>
  </si>
  <si>
    <t>league</t>
  </si>
  <si>
    <t>loud</t>
  </si>
  <si>
    <t>mail</t>
  </si>
  <si>
    <t>massive</t>
  </si>
  <si>
    <t>measurement</t>
  </si>
  <si>
    <t>mess</t>
  </si>
  <si>
    <t>mobile</t>
  </si>
  <si>
    <t>mode</t>
  </si>
  <si>
    <t>mud</t>
  </si>
  <si>
    <t>nasty</t>
  </si>
  <si>
    <t>native</t>
  </si>
  <si>
    <t>opening</t>
  </si>
  <si>
    <t>orange</t>
  </si>
  <si>
    <t>ordinary</t>
  </si>
  <si>
    <t>organize</t>
  </si>
  <si>
    <t>ought</t>
  </si>
  <si>
    <t>parent</t>
  </si>
  <si>
    <t>pattern</t>
  </si>
  <si>
    <t>pin</t>
  </si>
  <si>
    <t>poetry</t>
  </si>
  <si>
    <t>police</t>
  </si>
  <si>
    <t>pool</t>
  </si>
  <si>
    <t>possess</t>
  </si>
  <si>
    <t>possibility</t>
  </si>
  <si>
    <t>pound</t>
  </si>
  <si>
    <t>procedure</t>
  </si>
  <si>
    <t>queen</t>
  </si>
  <si>
    <t>ratio</t>
  </si>
  <si>
    <t>readily</t>
  </si>
  <si>
    <t>relation</t>
  </si>
  <si>
    <t>relieve</t>
  </si>
  <si>
    <t>request</t>
  </si>
  <si>
    <t>respond</t>
  </si>
  <si>
    <t>restaurant</t>
  </si>
  <si>
    <t>retain</t>
  </si>
  <si>
    <t>royal</t>
  </si>
  <si>
    <t>salary</t>
  </si>
  <si>
    <t>satisfaction</t>
  </si>
  <si>
    <t>sector</t>
  </si>
  <si>
    <t>senior</t>
  </si>
  <si>
    <t>shame</t>
  </si>
  <si>
    <t>shelter</t>
  </si>
  <si>
    <t>shoe</t>
  </si>
  <si>
    <t>shut</t>
  </si>
  <si>
    <t>signature</t>
  </si>
  <si>
    <t>significance</t>
  </si>
  <si>
    <t>silver</t>
  </si>
  <si>
    <t>somebody</t>
  </si>
  <si>
    <t>song</t>
  </si>
  <si>
    <t>southern</t>
  </si>
  <si>
    <t>split</t>
  </si>
  <si>
    <t>strain</t>
  </si>
  <si>
    <t>struggle</t>
  </si>
  <si>
    <t>super</t>
  </si>
  <si>
    <t>swim</t>
  </si>
  <si>
    <t>tackle</t>
  </si>
  <si>
    <t>tank</t>
  </si>
  <si>
    <t>terribly</t>
  </si>
  <si>
    <t>tight</t>
  </si>
  <si>
    <t>tooth</t>
  </si>
  <si>
    <t>town</t>
  </si>
  <si>
    <t>train</t>
  </si>
  <si>
    <t>trust</t>
  </si>
  <si>
    <t>unfair</t>
  </si>
  <si>
    <t>unfortunately</t>
  </si>
  <si>
    <t>upper</t>
  </si>
  <si>
    <t>vehicle</t>
  </si>
  <si>
    <t>visible</t>
  </si>
  <si>
    <t>volume</t>
  </si>
  <si>
    <t>wash</t>
  </si>
  <si>
    <t>waste</t>
  </si>
  <si>
    <t>wife</t>
  </si>
  <si>
    <t>yellow</t>
  </si>
  <si>
    <t>yours</t>
  </si>
  <si>
    <t>accident</t>
  </si>
  <si>
    <t>airport</t>
  </si>
  <si>
    <t>alive</t>
  </si>
  <si>
    <t>angry</t>
  </si>
  <si>
    <t>appointment</t>
  </si>
  <si>
    <t>arrival</t>
  </si>
  <si>
    <t>assist</t>
  </si>
  <si>
    <t>assumption</t>
  </si>
  <si>
    <t>bake</t>
  </si>
  <si>
    <t>bar</t>
  </si>
  <si>
    <t>(noun,verb,preposition)</t>
  </si>
  <si>
    <t>baseball</t>
  </si>
  <si>
    <t>bell</t>
  </si>
  <si>
    <t>bike</t>
  </si>
  <si>
    <t>blame</t>
  </si>
  <si>
    <t>boy</t>
  </si>
  <si>
    <t>brick</t>
  </si>
  <si>
    <t>calculate</t>
  </si>
  <si>
    <t>chair</t>
  </si>
  <si>
    <t>chapter</t>
  </si>
  <si>
    <t>closet</t>
  </si>
  <si>
    <t>clue</t>
  </si>
  <si>
    <t>collar</t>
  </si>
  <si>
    <t>comment</t>
  </si>
  <si>
    <t>committee</t>
  </si>
  <si>
    <t>compete</t>
  </si>
  <si>
    <t>concerning</t>
  </si>
  <si>
    <t>conference</t>
  </si>
  <si>
    <t>consult</t>
  </si>
  <si>
    <t>conversation</t>
  </si>
  <si>
    <t>convert</t>
  </si>
  <si>
    <t>crash</t>
  </si>
  <si>
    <t>database</t>
  </si>
  <si>
    <t>deliver</t>
  </si>
  <si>
    <t>dependent</t>
  </si>
  <si>
    <t>desperate</t>
  </si>
  <si>
    <t>devil</t>
  </si>
  <si>
    <t>diet</t>
  </si>
  <si>
    <t>enthusiasm</t>
  </si>
  <si>
    <t>error</t>
  </si>
  <si>
    <t>exciting</t>
  </si>
  <si>
    <t>explanation</t>
  </si>
  <si>
    <t>extend</t>
  </si>
  <si>
    <t>farmer</t>
  </si>
  <si>
    <t>fear</t>
  </si>
  <si>
    <t>fold</t>
  </si>
  <si>
    <t>forth</t>
  </si>
  <si>
    <t>friendly</t>
  </si>
  <si>
    <t>fuel</t>
  </si>
  <si>
    <t>funny</t>
  </si>
  <si>
    <t>gate</t>
  </si>
  <si>
    <t>girl</t>
  </si>
  <si>
    <t>glove</t>
  </si>
  <si>
    <t>grab</t>
  </si>
  <si>
    <t>gross</t>
  </si>
  <si>
    <t>hall</t>
  </si>
  <si>
    <t>herself</t>
  </si>
  <si>
    <t>hide</t>
  </si>
  <si>
    <t>historian</t>
  </si>
  <si>
    <t>hospital</t>
  </si>
  <si>
    <t>ill</t>
  </si>
  <si>
    <t>injury</t>
  </si>
  <si>
    <t>instruction</t>
  </si>
  <si>
    <t>investigate</t>
  </si>
  <si>
    <t>jacket</t>
  </si>
  <si>
    <t>lucky</t>
  </si>
  <si>
    <t>lunch</t>
  </si>
  <si>
    <t>maintenance</t>
  </si>
  <si>
    <t>manufacturer</t>
  </si>
  <si>
    <t>meal</t>
  </si>
  <si>
    <t>miss</t>
  </si>
  <si>
    <t>monitor</t>
  </si>
  <si>
    <t>mortgage</t>
  </si>
  <si>
    <t>negotiate</t>
  </si>
  <si>
    <t>nurse</t>
  </si>
  <si>
    <t>pace</t>
  </si>
  <si>
    <t>panic</t>
  </si>
  <si>
    <t>peak</t>
  </si>
  <si>
    <t>perception</t>
  </si>
  <si>
    <t>permit</t>
  </si>
  <si>
    <t>pie</t>
  </si>
  <si>
    <t>plane</t>
  </si>
  <si>
    <t>poem</t>
  </si>
  <si>
    <t>presence</t>
  </si>
  <si>
    <t>proposal</t>
  </si>
  <si>
    <t>provided</t>
  </si>
  <si>
    <t>qualify</t>
  </si>
  <si>
    <t>quote</t>
  </si>
  <si>
    <t>realistic</t>
  </si>
  <si>
    <t>reception</t>
  </si>
  <si>
    <t>recover</t>
  </si>
  <si>
    <t>replacement</t>
  </si>
  <si>
    <t>resolve</t>
  </si>
  <si>
    <t>retire</t>
  </si>
  <si>
    <t>revolution</t>
  </si>
  <si>
    <t>reward</t>
  </si>
  <si>
    <t>rid</t>
  </si>
  <si>
    <t>river</t>
  </si>
  <si>
    <t>roll</t>
  </si>
  <si>
    <t>row</t>
  </si>
  <si>
    <t>sandwich</t>
  </si>
  <si>
    <t>shock</t>
  </si>
  <si>
    <t>sink</t>
  </si>
  <si>
    <t>slip</t>
  </si>
  <si>
    <t>son</t>
  </si>
  <si>
    <t>sorry</t>
  </si>
  <si>
    <t>spare</t>
  </si>
  <si>
    <t>speech</t>
  </si>
  <si>
    <t>spite</t>
  </si>
  <si>
    <t>spray</t>
  </si>
  <si>
    <t>surprise</t>
  </si>
  <si>
    <t>suspect</t>
  </si>
  <si>
    <t>sweet</t>
  </si>
  <si>
    <t>swing</t>
  </si>
  <si>
    <t>tea</t>
  </si>
  <si>
    <t>till</t>
  </si>
  <si>
    <t>transition</t>
  </si>
  <si>
    <t>twist</t>
  </si>
  <si>
    <t>ugly</t>
  </si>
  <si>
    <t>unlikely</t>
  </si>
  <si>
    <t>upstairs</t>
  </si>
  <si>
    <t>usual</t>
  </si>
  <si>
    <t>village</t>
  </si>
  <si>
    <t>warning</t>
  </si>
  <si>
    <t>weekend</t>
  </si>
  <si>
    <t>weigh</t>
  </si>
  <si>
    <t>welcome</t>
  </si>
  <si>
    <t>(noun,interjection,verb,adjective)</t>
  </si>
  <si>
    <t>winner</t>
  </si>
  <si>
    <t>worker</t>
  </si>
  <si>
    <t>writer</t>
  </si>
  <si>
    <t>yard</t>
  </si>
  <si>
    <t>abroad</t>
  </si>
  <si>
    <t>alarm</t>
  </si>
  <si>
    <t>anxious</t>
  </si>
  <si>
    <t>arrive</t>
  </si>
  <si>
    <t>assistance</t>
  </si>
  <si>
    <t>attach</t>
  </si>
  <si>
    <t>behave</t>
  </si>
  <si>
    <t>bend</t>
  </si>
  <si>
    <t>bicycle</t>
  </si>
  <si>
    <t>bite</t>
  </si>
  <si>
    <t>blind</t>
  </si>
  <si>
    <t>bottle</t>
  </si>
  <si>
    <t>brave</t>
  </si>
  <si>
    <t>breath</t>
  </si>
  <si>
    <t>briefly</t>
  </si>
  <si>
    <t>buyer</t>
  </si>
  <si>
    <t>cable</t>
  </si>
  <si>
    <t>calm</t>
  </si>
  <si>
    <t>candle</t>
  </si>
  <si>
    <t>celebrate</t>
  </si>
  <si>
    <t>chest</t>
  </si>
  <si>
    <t>chocolate</t>
  </si>
  <si>
    <t>clerk</t>
  </si>
  <si>
    <t>cloud</t>
  </si>
  <si>
    <t>comprehensive</t>
  </si>
  <si>
    <t>concentrate</t>
  </si>
  <si>
    <t>concert</t>
  </si>
  <si>
    <t>conclusion</t>
  </si>
  <si>
    <t>contribution</t>
  </si>
  <si>
    <t>convince</t>
  </si>
  <si>
    <t>cookie</t>
  </si>
  <si>
    <t>counter</t>
  </si>
  <si>
    <t>(noun,verb,adverb,adjective)</t>
  </si>
  <si>
    <t>courage</t>
  </si>
  <si>
    <t>curious</t>
  </si>
  <si>
    <t>dad</t>
  </si>
  <si>
    <t>desk</t>
  </si>
  <si>
    <t>dirty</t>
  </si>
  <si>
    <t>disagree</t>
  </si>
  <si>
    <t>downtown</t>
  </si>
  <si>
    <t>drawer</t>
  </si>
  <si>
    <t>establish</t>
  </si>
  <si>
    <t>establishment</t>
  </si>
  <si>
    <t>estimate</t>
  </si>
  <si>
    <t>examination</t>
  </si>
  <si>
    <t>flower</t>
  </si>
  <si>
    <t>garbage</t>
  </si>
  <si>
    <t>grand</t>
  </si>
  <si>
    <t>grandfather</t>
  </si>
  <si>
    <t>grocery</t>
  </si>
  <si>
    <t>harm</t>
  </si>
  <si>
    <t>honest</t>
  </si>
  <si>
    <t>honey</t>
  </si>
  <si>
    <t>ignore</t>
  </si>
  <si>
    <t>imply</t>
  </si>
  <si>
    <t>impression</t>
  </si>
  <si>
    <t>impressive</t>
  </si>
  <si>
    <t>improvement</t>
  </si>
  <si>
    <t>independence</t>
  </si>
  <si>
    <t>informal</t>
  </si>
  <si>
    <t>inner</t>
  </si>
  <si>
    <t>insect</t>
  </si>
  <si>
    <t>insist</t>
  </si>
  <si>
    <t>inspection</t>
  </si>
  <si>
    <t>inspector</t>
  </si>
  <si>
    <t>king</t>
  </si>
  <si>
    <t>knee</t>
  </si>
  <si>
    <t>ladder</t>
  </si>
  <si>
    <t>lawyer</t>
  </si>
  <si>
    <t>leather</t>
  </si>
  <si>
    <t>load</t>
  </si>
  <si>
    <t>loose</t>
  </si>
  <si>
    <t>male</t>
  </si>
  <si>
    <t>menu</t>
  </si>
  <si>
    <t>mine</t>
  </si>
  <si>
    <t>(pronoun,noun,verb)</t>
  </si>
  <si>
    <t>mirror</t>
  </si>
  <si>
    <t>moreover</t>
  </si>
  <si>
    <t>neck</t>
  </si>
  <si>
    <t>penalty</t>
  </si>
  <si>
    <t>pension</t>
  </si>
  <si>
    <t>piano</t>
  </si>
  <si>
    <t>plate</t>
  </si>
  <si>
    <t>pleasant</t>
  </si>
  <si>
    <t>pleased</t>
  </si>
  <si>
    <t>potato</t>
  </si>
  <si>
    <t>profession</t>
  </si>
  <si>
    <t>professor</t>
  </si>
  <si>
    <t>prompt</t>
  </si>
  <si>
    <t>proposed</t>
  </si>
  <si>
    <t>purple</t>
  </si>
  <si>
    <t>pursue</t>
  </si>
  <si>
    <t>quantity</t>
  </si>
  <si>
    <t>quiet</t>
  </si>
  <si>
    <t>reaction</t>
  </si>
  <si>
    <t>refuse</t>
  </si>
  <si>
    <t>regret</t>
  </si>
  <si>
    <t>remaining</t>
  </si>
  <si>
    <t>requirement</t>
  </si>
  <si>
    <t>reveal</t>
  </si>
  <si>
    <t>ruin</t>
  </si>
  <si>
    <t>rush</t>
  </si>
  <si>
    <t>salad</t>
  </si>
  <si>
    <t>sexual</t>
  </si>
  <si>
    <t>shake</t>
  </si>
  <si>
    <t>shift</t>
  </si>
  <si>
    <t>shine</t>
  </si>
  <si>
    <t>ship</t>
  </si>
  <si>
    <t>sister</t>
  </si>
  <si>
    <t>skirt</t>
  </si>
  <si>
    <t>slice</t>
  </si>
  <si>
    <t>snow</t>
  </si>
  <si>
    <t>specialist</t>
  </si>
  <si>
    <t>specify</t>
  </si>
  <si>
    <t>steal</t>
  </si>
  <si>
    <t>stroke</t>
  </si>
  <si>
    <t>strongly</t>
  </si>
  <si>
    <t>suck</t>
  </si>
  <si>
    <t>sudden</t>
  </si>
  <si>
    <t>supermarket</t>
  </si>
  <si>
    <t>surround</t>
  </si>
  <si>
    <t>switch</t>
  </si>
  <si>
    <t>terrible</t>
  </si>
  <si>
    <t>tired</t>
  </si>
  <si>
    <t>tongue</t>
  </si>
  <si>
    <t>trash</t>
  </si>
  <si>
    <t>tune</t>
  </si>
  <si>
    <t>unable</t>
  </si>
  <si>
    <t>warn</t>
  </si>
  <si>
    <t>weak</t>
  </si>
  <si>
    <t>weakness</t>
  </si>
  <si>
    <t>wedding</t>
  </si>
  <si>
    <t>wooden</t>
  </si>
  <si>
    <t>worried</t>
  </si>
  <si>
    <t>yeah</t>
  </si>
  <si>
    <t>zone</t>
  </si>
  <si>
    <t>accuse</t>
  </si>
  <si>
    <t>admire</t>
  </si>
  <si>
    <t>admit</t>
  </si>
  <si>
    <t>adopt</t>
  </si>
  <si>
    <t>affair</t>
  </si>
  <si>
    <t>ambition</t>
  </si>
  <si>
    <t>analyst</t>
  </si>
  <si>
    <t>anger</t>
  </si>
  <si>
    <t>announce</t>
  </si>
  <si>
    <t>anybody</t>
  </si>
  <si>
    <t>apologize</t>
  </si>
  <si>
    <t>apple</t>
  </si>
  <si>
    <t>approve</t>
  </si>
  <si>
    <t>asleep</t>
  </si>
  <si>
    <t>assignment</t>
  </si>
  <si>
    <t>assistant</t>
  </si>
  <si>
    <t>attend</t>
  </si>
  <si>
    <t>award</t>
  </si>
  <si>
    <t>bathroom</t>
  </si>
  <si>
    <t>bear</t>
  </si>
  <si>
    <t>bedroom</t>
  </si>
  <si>
    <t>beer</t>
  </si>
  <si>
    <t>belong</t>
  </si>
  <si>
    <t>bid</t>
  </si>
  <si>
    <t>birthday</t>
  </si>
  <si>
    <t>bitter</t>
  </si>
  <si>
    <t>boot</t>
  </si>
  <si>
    <t>brilliant</t>
  </si>
  <si>
    <t>bug</t>
  </si>
  <si>
    <t>camp</t>
  </si>
  <si>
    <t>candy</t>
  </si>
  <si>
    <t>carpet</t>
  </si>
  <si>
    <t>cat</t>
  </si>
  <si>
    <t>celebration</t>
  </si>
  <si>
    <t>champion</t>
  </si>
  <si>
    <t>championship</t>
  </si>
  <si>
    <t>channel</t>
  </si>
  <si>
    <t>cheek</t>
  </si>
  <si>
    <t>client</t>
  </si>
  <si>
    <t>clock</t>
  </si>
  <si>
    <t>comfort</t>
  </si>
  <si>
    <t>commit</t>
  </si>
  <si>
    <t>confident</t>
  </si>
  <si>
    <t>conscious</t>
  </si>
  <si>
    <t>consequence</t>
  </si>
  <si>
    <t>cow</t>
  </si>
  <si>
    <t>crack</t>
  </si>
  <si>
    <t>criticize</t>
  </si>
  <si>
    <t>dare</t>
  </si>
  <si>
    <t>dear</t>
  </si>
  <si>
    <t>decent</t>
  </si>
  <si>
    <t>delay</t>
  </si>
  <si>
    <t>departure</t>
  </si>
  <si>
    <t>deserve</t>
  </si>
  <si>
    <t>destroy</t>
  </si>
  <si>
    <t>diamond</t>
  </si>
  <si>
    <t>dirt</t>
  </si>
  <si>
    <t>disappointed</t>
  </si>
  <si>
    <t>drunk</t>
  </si>
  <si>
    <t>ear</t>
  </si>
  <si>
    <t>embarrassed</t>
  </si>
  <si>
    <t>empty</t>
  </si>
  <si>
    <t>engineer</t>
  </si>
  <si>
    <t>entrance</t>
  </si>
  <si>
    <t>fault</t>
  </si>
  <si>
    <t>female</t>
  </si>
  <si>
    <t>fortune</t>
  </si>
  <si>
    <t>friendship</t>
  </si>
  <si>
    <t>funeral</t>
  </si>
  <si>
    <t>gene</t>
  </si>
  <si>
    <t>girlfriend</t>
  </si>
  <si>
    <t>grass</t>
  </si>
  <si>
    <t>guilty</t>
  </si>
  <si>
    <t>guy</t>
  </si>
  <si>
    <t>hat</t>
  </si>
  <si>
    <t>hell</t>
  </si>
  <si>
    <t>hesitate</t>
  </si>
  <si>
    <t>highlight</t>
  </si>
  <si>
    <t>honestly</t>
  </si>
  <si>
    <t>hurry</t>
  </si>
  <si>
    <t>illustrate</t>
  </si>
  <si>
    <t>incident</t>
  </si>
  <si>
    <t>indication</t>
  </si>
  <si>
    <t>inevitable</t>
  </si>
  <si>
    <t>inform</t>
  </si>
  <si>
    <t>intention</t>
  </si>
  <si>
    <t>invite</t>
  </si>
  <si>
    <t>island</t>
  </si>
  <si>
    <t>joke</t>
  </si>
  <si>
    <t>jury</t>
  </si>
  <si>
    <t>kiss</t>
  </si>
  <si>
    <t>lady</t>
  </si>
  <si>
    <t>leg</t>
  </si>
  <si>
    <t>lip</t>
  </si>
  <si>
    <t>lonely</t>
  </si>
  <si>
    <t>mad</t>
  </si>
  <si>
    <t>manufacturing</t>
  </si>
  <si>
    <t>marry</t>
  </si>
  <si>
    <t>(verb,interjection)</t>
  </si>
  <si>
    <t>mate</t>
  </si>
  <si>
    <t>midnight</t>
  </si>
  <si>
    <t>motor</t>
  </si>
  <si>
    <t>neat</t>
  </si>
  <si>
    <t>negotiation</t>
  </si>
  <si>
    <t>nerve</t>
  </si>
  <si>
    <t>nervous</t>
  </si>
  <si>
    <t>nowhere</t>
  </si>
  <si>
    <t>(adverb,pronoun,adjective)</t>
  </si>
  <si>
    <t>obligation</t>
  </si>
  <si>
    <t>odd</t>
  </si>
  <si>
    <t>ok</t>
  </si>
  <si>
    <t>passage</t>
  </si>
  <si>
    <t>passenger</t>
  </si>
  <si>
    <t>pen</t>
  </si>
  <si>
    <t>persuade</t>
  </si>
  <si>
    <t>pizza</t>
  </si>
  <si>
    <t>platform</t>
  </si>
  <si>
    <t>poet</t>
  </si>
  <si>
    <t>pollution</t>
  </si>
  <si>
    <t>pop</t>
  </si>
  <si>
    <t>(verb,noun,adverb,adjective)</t>
  </si>
  <si>
    <t>pour</t>
  </si>
  <si>
    <t>pray</t>
  </si>
  <si>
    <t>(verb,adverb)</t>
  </si>
  <si>
    <t>pretend</t>
  </si>
  <si>
    <t>previously</t>
  </si>
  <si>
    <t>pride</t>
  </si>
  <si>
    <t>priest</t>
  </si>
  <si>
    <t>prize</t>
  </si>
  <si>
    <t>promise</t>
  </si>
  <si>
    <t>propose</t>
  </si>
  <si>
    <t>punch</t>
  </si>
  <si>
    <t>quit</t>
  </si>
  <si>
    <t>recognition</t>
  </si>
  <si>
    <t>remarkable</t>
  </si>
  <si>
    <t>remind</t>
  </si>
  <si>
    <t>reply</t>
  </si>
  <si>
    <t>representative</t>
  </si>
  <si>
    <t>reputation</t>
  </si>
  <si>
    <t>resident</t>
  </si>
  <si>
    <t>resist</t>
  </si>
  <si>
    <t>resort</t>
  </si>
  <si>
    <t>ring</t>
  </si>
  <si>
    <t>rip</t>
  </si>
  <si>
    <t>roof</t>
  </si>
  <si>
    <t>rope</t>
  </si>
  <si>
    <t>rub</t>
  </si>
  <si>
    <t>sail</t>
  </si>
  <si>
    <t>scheme</t>
  </si>
  <si>
    <t>script</t>
  </si>
  <si>
    <t>shall</t>
  </si>
  <si>
    <t>shirt</t>
  </si>
  <si>
    <t>silly</t>
  </si>
  <si>
    <t>sir</t>
  </si>
  <si>
    <t>slight</t>
  </si>
  <si>
    <t>smart</t>
  </si>
  <si>
    <t>smile</t>
  </si>
  <si>
    <t>sock</t>
  </si>
  <si>
    <t>speaker</t>
  </si>
  <si>
    <t>spell</t>
  </si>
  <si>
    <t>station</t>
  </si>
  <si>
    <t>stranger</t>
  </si>
  <si>
    <t>stretch</t>
  </si>
  <si>
    <t>stupid</t>
  </si>
  <si>
    <t>submit</t>
  </si>
  <si>
    <t>substantial</t>
  </si>
  <si>
    <t>suppose</t>
  </si>
  <si>
    <t>surgery</t>
  </si>
  <si>
    <t>suspicious</t>
  </si>
  <si>
    <t>sympathy</t>
  </si>
  <si>
    <t>tale</t>
  </si>
  <si>
    <t>tall</t>
  </si>
  <si>
    <t>tear</t>
  </si>
  <si>
    <t>temporary</t>
  </si>
  <si>
    <t>throat</t>
  </si>
  <si>
    <t>tiny</t>
  </si>
  <si>
    <t>toe</t>
  </si>
  <si>
    <t>tomorrow</t>
  </si>
  <si>
    <t>tower</t>
  </si>
  <si>
    <t>trainer</t>
  </si>
  <si>
    <t>translate</t>
  </si>
  <si>
    <t>truck</t>
  </si>
  <si>
    <t>uncle</t>
  </si>
  <si>
    <t>wake</t>
  </si>
  <si>
    <t>weekly</t>
  </si>
  <si>
    <t>whoever</t>
  </si>
  <si>
    <t>witness</t>
  </si>
  <si>
    <t>wrap</t>
  </si>
  <si>
    <t>yesterday</t>
  </si>
  <si>
    <t>youth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</si>
</sst>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rgb="FF000000"/>
      <name val="Calibri"/>
      <scheme val="minor"/>
    </font>
    <font>
      <b/>
      <color rgb="FF980000"/>
      <name val="Calibri"/>
      <scheme val="minor"/>
    </font>
    <font>
      <b/>
      <color rgb="FF980000"/>
      <name val="Calibri"/>
    </font>
    <font>
      <color rgb="FF990000"/>
      <name val="Calibri"/>
      <scheme val="minor"/>
    </font>
    <font>
      <color rgb="FF990000"/>
      <name val="Calibri"/>
    </font>
    <font>
      <color theme="1"/>
      <name val="Calibri"/>
    </font>
    <font>
      <color theme="1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999999"/>
        <bgColor rgb="FF999999"/>
      </patternFill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0" fillId="0" fontId="3" numFmtId="0" xfId="0" applyFont="1"/>
    <xf borderId="0" fillId="0" fontId="4" numFmtId="0" xfId="0" applyFont="1"/>
    <xf borderId="0" fillId="0" fontId="1" numFmtId="0" xfId="0" applyAlignment="1" applyFont="1">
      <alignment horizontal="center"/>
    </xf>
    <xf borderId="0" fillId="0" fontId="3" numFmtId="0" xfId="0" applyAlignment="1" applyFont="1">
      <alignment readingOrder="0"/>
    </xf>
    <xf borderId="0" fillId="0" fontId="2" numFmtId="0" xfId="0" applyAlignment="1" applyFont="1">
      <alignment horizontal="center" readingOrder="0"/>
    </xf>
    <xf borderId="0" fillId="0" fontId="3" numFmtId="0" xfId="0" applyAlignment="1" applyFont="1">
      <alignment horizontal="center"/>
    </xf>
    <xf borderId="0" fillId="0" fontId="4" numFmtId="0" xfId="0" applyAlignment="1" applyFont="1">
      <alignment horizontal="center"/>
    </xf>
    <xf borderId="0" fillId="2" fontId="1" numFmtId="0" xfId="0" applyAlignment="1" applyFill="1" applyFont="1">
      <alignment horizontal="center"/>
    </xf>
    <xf borderId="0" fillId="2" fontId="2" numFmtId="0" xfId="0" applyAlignment="1" applyFont="1">
      <alignment horizontal="center"/>
    </xf>
    <xf borderId="0" fillId="2" fontId="3" numFmtId="0" xfId="0" applyFont="1"/>
    <xf borderId="0" fillId="2" fontId="4" numFmtId="0" xfId="0" applyFont="1"/>
    <xf borderId="0" fillId="0" fontId="5" numFmtId="0" xfId="0" applyFont="1"/>
    <xf borderId="0" fillId="0" fontId="6" numFmtId="0" xfId="0" applyFont="1"/>
    <xf borderId="0" fillId="0" fontId="5" numFmtId="0" xfId="0" applyAlignment="1" applyFont="1">
      <alignment readingOrder="0"/>
    </xf>
    <xf borderId="0" fillId="0" fontId="1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4" width="10.0"/>
    <col customWidth="1" min="5" max="5" width="38.29"/>
    <col customWidth="1" min="6" max="6" width="10.0"/>
    <col customWidth="1" min="7" max="26" width="16.43"/>
  </cols>
  <sheetData>
    <row r="1" ht="14.25" customHeight="1">
      <c r="A1" s="1" t="s">
        <v>0</v>
      </c>
      <c r="B1" s="2" t="s">
        <v>1</v>
      </c>
      <c r="C1" s="2">
        <v>9243.0</v>
      </c>
      <c r="D1" s="3"/>
      <c r="E1" s="4" t="s">
        <v>2</v>
      </c>
      <c r="F1" s="3" t="str">
        <f>IFERROR(__xludf.DUMMYFUNCTION("GOOGLETRANSLATE(B1,""en"",""ar"")"),"ال")</f>
        <v>ال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4.25" customHeight="1">
      <c r="A2" s="5"/>
      <c r="B2" s="2" t="s">
        <v>3</v>
      </c>
      <c r="C2" s="2">
        <v>5220.0</v>
      </c>
      <c r="D2" s="3"/>
      <c r="E2" s="4" t="s">
        <v>4</v>
      </c>
      <c r="F2" s="3" t="str">
        <f>IFERROR(__xludf.DUMMYFUNCTION("GOOGLETRANSLATE(B2,""en"",""ar"")"),"من")</f>
        <v>من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4.25" customHeight="1">
      <c r="A3" s="5"/>
      <c r="B3" s="2" t="s">
        <v>5</v>
      </c>
      <c r="C3" s="2">
        <v>5196.0</v>
      </c>
      <c r="D3" s="3"/>
      <c r="E3" s="4" t="s">
        <v>6</v>
      </c>
      <c r="F3" s="3" t="str">
        <f>IFERROR(__xludf.DUMMYFUNCTION("GOOGLETRANSLATE(B3,""en"",""ar"")"),"و")</f>
        <v>و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4.25" customHeight="1">
      <c r="A4" s="5"/>
      <c r="B4" s="2" t="s">
        <v>7</v>
      </c>
      <c r="C4" s="2">
        <v>4951.0</v>
      </c>
      <c r="D4" s="3"/>
      <c r="E4" s="4" t="s">
        <v>8</v>
      </c>
      <c r="F4" s="3" t="str">
        <f>IFERROR(__xludf.DUMMYFUNCTION("GOOGLETRANSLATE(B4,""en"",""ar"")"),"إلى")</f>
        <v>إلى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4.25" customHeight="1">
      <c r="A5" s="5"/>
      <c r="B5" s="2" t="s">
        <v>9</v>
      </c>
      <c r="C5" s="2">
        <v>4506.0</v>
      </c>
      <c r="D5" s="3"/>
      <c r="E5" s="4" t="s">
        <v>10</v>
      </c>
      <c r="F5" s="3" t="str">
        <f>IFERROR(__xludf.DUMMYFUNCTION("GOOGLETRANSLATE(B5,""en"",""ar"")"),"أ")</f>
        <v>أ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4.25" customHeight="1">
      <c r="A6" s="5"/>
      <c r="B6" s="2" t="s">
        <v>11</v>
      </c>
      <c r="C6" s="2">
        <v>2822.0</v>
      </c>
      <c r="D6" s="3"/>
      <c r="E6" s="4" t="s">
        <v>8</v>
      </c>
      <c r="F6" s="3" t="str">
        <f>IFERROR(__xludf.DUMMYFUNCTION("GOOGLETRANSLATE(B6,""en"",""ar"")"),"في")</f>
        <v>في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4.25" customHeight="1">
      <c r="A7" s="5"/>
      <c r="B7" s="2" t="s">
        <v>12</v>
      </c>
      <c r="C7" s="2">
        <v>2699.0</v>
      </c>
      <c r="D7" s="3"/>
      <c r="E7" s="4" t="s">
        <v>13</v>
      </c>
      <c r="F7" s="3" t="str">
        <f>IFERROR(__xludf.DUMMYFUNCTION("GOOGLETRANSLATE(B7,""en"",""ar"")"),"هو")</f>
        <v>هو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4.25" customHeight="1">
      <c r="A8" s="5"/>
      <c r="B8" s="2" t="s">
        <v>14</v>
      </c>
      <c r="C8" s="2">
        <v>2041.0</v>
      </c>
      <c r="D8" s="3"/>
      <c r="E8" s="4" t="s">
        <v>15</v>
      </c>
      <c r="F8" s="3" t="str">
        <f>IFERROR(__xludf.DUMMYFUNCTION("GOOGLETRANSLATE(B8,""en"",""ar"")"),"أنت")</f>
        <v>أنت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4.25" customHeight="1">
      <c r="A9" s="5"/>
      <c r="B9" s="2" t="s">
        <v>16</v>
      </c>
      <c r="C9" s="2">
        <v>1843.0</v>
      </c>
      <c r="D9" s="3"/>
      <c r="E9" s="4" t="s">
        <v>13</v>
      </c>
      <c r="F9" s="3" t="str">
        <f>IFERROR(__xludf.DUMMYFUNCTION("GOOGLETRANSLATE(B9,""en"",""ar"")"),"نكون")</f>
        <v>نكون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4.25" customHeight="1">
      <c r="A10" s="5"/>
      <c r="B10" s="2" t="s">
        <v>17</v>
      </c>
      <c r="C10" s="2">
        <v>1752.0</v>
      </c>
      <c r="D10" s="3"/>
      <c r="E10" s="4" t="s">
        <v>18</v>
      </c>
      <c r="F10" s="3" t="str">
        <f>IFERROR(__xludf.DUMMYFUNCTION("GOOGLETRANSLATE(B10,""en"",""ar"")"),"إلى عن على")</f>
        <v>إلى عن على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4.25" customHeight="1">
      <c r="A11" s="5"/>
      <c r="B11" s="2" t="s">
        <v>19</v>
      </c>
      <c r="C11" s="2">
        <v>1743.0</v>
      </c>
      <c r="D11" s="3"/>
      <c r="E11" s="4" t="s">
        <v>20</v>
      </c>
      <c r="F11" s="3" t="str">
        <f>IFERROR(__xludf.DUMMYFUNCTION("GOOGLETRANSLATE(B11,""en"",""ar"")"),"الذي - التي")</f>
        <v>الذي - التي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4.25" customHeight="1">
      <c r="A12" s="5"/>
      <c r="B12" s="2" t="s">
        <v>21</v>
      </c>
      <c r="C12" s="2">
        <v>1487.0</v>
      </c>
      <c r="D12" s="3"/>
      <c r="E12" s="4" t="s">
        <v>6</v>
      </c>
      <c r="F12" s="3" t="str">
        <f>IFERROR(__xludf.DUMMYFUNCTION("GOOGLETRANSLATE(B12,""en"",""ar"")"),"أو")</f>
        <v>أو</v>
      </c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4.25" customHeight="1">
      <c r="A13" s="5"/>
      <c r="B13" s="2" t="s">
        <v>22</v>
      </c>
      <c r="C13" s="2">
        <v>1386.0</v>
      </c>
      <c r="D13" s="3"/>
      <c r="E13" s="4" t="s">
        <v>15</v>
      </c>
      <c r="F13" s="3" t="str">
        <f>IFERROR(__xludf.DUMMYFUNCTION("GOOGLETRANSLATE(B13,""en"",""ar"")"),"هو - هي")</f>
        <v>هو - هي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4.25" customHeight="1">
      <c r="A14" s="5"/>
      <c r="B14" s="2" t="s">
        <v>23</v>
      </c>
      <c r="C14" s="2">
        <v>1363.0</v>
      </c>
      <c r="D14" s="3"/>
      <c r="E14" s="4" t="s">
        <v>24</v>
      </c>
      <c r="F14" s="6" t="s">
        <v>25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4.25" customHeight="1">
      <c r="A15" s="5"/>
      <c r="B15" s="2" t="s">
        <v>26</v>
      </c>
      <c r="C15" s="2">
        <v>1145.0</v>
      </c>
      <c r="D15" s="3"/>
      <c r="E15" s="4" t="s">
        <v>27</v>
      </c>
      <c r="F15" s="3" t="str">
        <f>IFERROR(__xludf.DUMMYFUNCTION("GOOGLETRANSLATE(B15,""en"",""ar"")"),"يكون")</f>
        <v>يكون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4.25" customHeight="1">
      <c r="A16" s="5"/>
      <c r="B16" s="2" t="s">
        <v>28</v>
      </c>
      <c r="C16" s="2">
        <v>1087.0</v>
      </c>
      <c r="D16" s="3"/>
      <c r="E16" s="4" t="s">
        <v>29</v>
      </c>
      <c r="F16" s="3" t="str">
        <f>IFERROR(__xludf.DUMMYFUNCTION("GOOGLETRANSLATE(B16,""en"",""ar"")"),"على")</f>
        <v>على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4.25" customHeight="1">
      <c r="A17" s="5"/>
      <c r="B17" s="2" t="s">
        <v>30</v>
      </c>
      <c r="C17" s="2">
        <v>1067.0</v>
      </c>
      <c r="D17" s="3"/>
      <c r="E17" s="4" t="s">
        <v>31</v>
      </c>
      <c r="F17" s="3" t="str">
        <f>IFERROR(__xludf.DUMMYFUNCTION("GOOGLETRANSLATE(B17,""en"",""ar"")"),"لك")</f>
        <v>لك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4.25" customHeight="1">
      <c r="A18" s="5"/>
      <c r="B18" s="2" t="s">
        <v>32</v>
      </c>
      <c r="C18" s="2">
        <v>1062.0</v>
      </c>
      <c r="D18" s="3"/>
      <c r="E18" s="4" t="s">
        <v>33</v>
      </c>
      <c r="F18" s="3" t="str">
        <f>IFERROR(__xludf.DUMMYFUNCTION("GOOGLETRANSLATE(B18,""en"",""ar"")"),"مع")</f>
        <v>مع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4.25" customHeight="1">
      <c r="A19" s="5"/>
      <c r="B19" s="2" t="s">
        <v>34</v>
      </c>
      <c r="C19" s="2">
        <v>895.0</v>
      </c>
      <c r="D19" s="3"/>
      <c r="E19" s="4" t="s">
        <v>35</v>
      </c>
      <c r="F19" s="3" t="str">
        <f>IFERROR(__xludf.DUMMYFUNCTION("GOOGLETRANSLATE(B19,""en"",""ar"")"),"يستطيع")</f>
        <v>يستطيع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4.25" customHeight="1">
      <c r="A20" s="5"/>
      <c r="B20" s="2" t="s">
        <v>36</v>
      </c>
      <c r="C20" s="2">
        <v>891.0</v>
      </c>
      <c r="D20" s="3"/>
      <c r="E20" s="4" t="s">
        <v>27</v>
      </c>
      <c r="F20" s="3" t="str">
        <f>IFERROR(__xludf.DUMMYFUNCTION("GOOGLETRANSLATE(B20,""en"",""ar"")"),"لديك")</f>
        <v>لديك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4.25" customHeight="1">
      <c r="A21" s="5"/>
      <c r="B21" s="2" t="s">
        <v>37</v>
      </c>
      <c r="C21" s="2">
        <v>864.0</v>
      </c>
      <c r="D21" s="3"/>
      <c r="E21" s="4" t="s">
        <v>38</v>
      </c>
      <c r="F21" s="3" t="str">
        <f>IFERROR(__xludf.DUMMYFUNCTION("GOOGLETRANSLATE(B21,""en"",""ar"")"),"هذه")</f>
        <v>هذه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4.25" customHeight="1">
      <c r="A22" s="5"/>
      <c r="B22" s="2" t="s">
        <v>39</v>
      </c>
      <c r="C22" s="2">
        <v>754.0</v>
      </c>
      <c r="D22" s="3"/>
      <c r="E22" s="4" t="s">
        <v>40</v>
      </c>
      <c r="F22" s="3" t="str">
        <f>IFERROR(__xludf.DUMMYFUNCTION("GOOGLETRANSLATE(B22,""en"",""ar"")"),"و")</f>
        <v>و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4.25" customHeight="1">
      <c r="A23" s="5"/>
      <c r="B23" s="2" t="s">
        <v>41</v>
      </c>
      <c r="C23" s="2">
        <v>706.0</v>
      </c>
      <c r="D23" s="3"/>
      <c r="E23" s="4" t="s">
        <v>8</v>
      </c>
      <c r="F23" s="3" t="str">
        <f>IFERROR(__xludf.DUMMYFUNCTION("GOOGLETRANSLATE(B23,""en"",""ar"")"),"بواسطة")</f>
        <v>بواسطة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4.25" customHeight="1">
      <c r="A24" s="5"/>
      <c r="B24" s="2" t="s">
        <v>42</v>
      </c>
      <c r="C24" s="2">
        <v>658.0</v>
      </c>
      <c r="D24" s="3"/>
      <c r="E24" s="4" t="s">
        <v>43</v>
      </c>
      <c r="F24" s="3" t="str">
        <f>IFERROR(__xludf.DUMMYFUNCTION("GOOGLETRANSLATE(B24,""en"",""ar"")"),"ليس")</f>
        <v>ليس</v>
      </c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4.25" customHeight="1">
      <c r="A25" s="5"/>
      <c r="B25" s="2" t="s">
        <v>44</v>
      </c>
      <c r="C25" s="2">
        <v>626.0</v>
      </c>
      <c r="D25" s="3"/>
      <c r="E25" s="4" t="s">
        <v>45</v>
      </c>
      <c r="F25" s="3" t="str">
        <f>IFERROR(__xludf.DUMMYFUNCTION("GOOGLETRANSLATE(B25,""en"",""ar"")"),"لكن")</f>
        <v>لكن</v>
      </c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4.25" customHeight="1">
      <c r="A26" s="5"/>
      <c r="B26" s="2" t="s">
        <v>46</v>
      </c>
      <c r="C26" s="2">
        <v>624.0</v>
      </c>
      <c r="D26" s="3"/>
      <c r="E26" s="4" t="s">
        <v>33</v>
      </c>
      <c r="F26" s="3" t="str">
        <f>IFERROR(__xludf.DUMMYFUNCTION("GOOGLETRANSLATE(B26,""en"",""ar"")"),"في")</f>
        <v>في</v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4.25" customHeight="1">
      <c r="A27" s="5"/>
      <c r="B27" s="2" t="s">
        <v>47</v>
      </c>
      <c r="C27" s="2">
        <v>622.0</v>
      </c>
      <c r="D27" s="3"/>
      <c r="E27" s="4" t="s">
        <v>33</v>
      </c>
      <c r="F27" s="3" t="str">
        <f>IFERROR(__xludf.DUMMYFUNCTION("GOOGLETRANSLATE(B27,""en"",""ar"")"),"من")</f>
        <v>من</v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4.25" customHeight="1">
      <c r="A28" s="5"/>
      <c r="B28" s="2" t="s">
        <v>48</v>
      </c>
      <c r="C28" s="2">
        <v>621.0</v>
      </c>
      <c r="D28" s="3"/>
      <c r="E28" s="4" t="s">
        <v>31</v>
      </c>
      <c r="F28" s="3" t="str">
        <f>IFERROR(__xludf.DUMMYFUNCTION("GOOGLETRANSLATE(B28,""en"",""ar"")"),"أنا")</f>
        <v>أنا</v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4.25" customHeight="1">
      <c r="A29" s="5"/>
      <c r="B29" s="2" t="s">
        <v>49</v>
      </c>
      <c r="C29" s="2">
        <v>617.0</v>
      </c>
      <c r="D29" s="3"/>
      <c r="E29" s="4" t="s">
        <v>31</v>
      </c>
      <c r="F29" s="3" t="str">
        <f>IFERROR(__xludf.DUMMYFUNCTION("GOOGLETRANSLATE(B29,""en"",""ar"")"),"أنهم")</f>
        <v>أنهم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4.25" customHeight="1">
      <c r="A30" s="5"/>
      <c r="B30" s="2" t="s">
        <v>50</v>
      </c>
      <c r="C30" s="2">
        <v>597.0</v>
      </c>
      <c r="D30" s="3"/>
      <c r="E30" s="4" t="s">
        <v>51</v>
      </c>
      <c r="F30" s="3" t="str">
        <f>IFERROR(__xludf.DUMMYFUNCTION("GOOGLETRANSLATE(B30,""en"",""ar"")"),"أكثر")</f>
        <v>أكثر</v>
      </c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4.25" customHeight="1">
      <c r="A31" s="5"/>
      <c r="B31" s="2" t="s">
        <v>52</v>
      </c>
      <c r="C31" s="2">
        <v>577.0</v>
      </c>
      <c r="D31" s="3"/>
      <c r="E31" s="4" t="s">
        <v>35</v>
      </c>
      <c r="F31" s="3" t="str">
        <f>IFERROR(__xludf.DUMMYFUNCTION("GOOGLETRANSLATE(B31,""en"",""ar"")"),"إرادة")</f>
        <v>إرادة</v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4.25" customHeight="1">
      <c r="A32" s="5"/>
      <c r="B32" s="2" t="s">
        <v>53</v>
      </c>
      <c r="C32" s="2">
        <v>546.0</v>
      </c>
      <c r="D32" s="3"/>
      <c r="E32" s="4" t="s">
        <v>54</v>
      </c>
      <c r="F32" s="3" t="str">
        <f>IFERROR(__xludf.DUMMYFUNCTION("GOOGLETRANSLATE(B32,""en"",""ar"")"),"إذا")</f>
        <v>إذا</v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4.25" customHeight="1">
      <c r="A33" s="5"/>
      <c r="B33" s="2" t="s">
        <v>55</v>
      </c>
      <c r="C33" s="2">
        <v>501.0</v>
      </c>
      <c r="D33" s="3"/>
      <c r="E33" s="4" t="s">
        <v>56</v>
      </c>
      <c r="F33" s="3" t="str">
        <f>IFERROR(__xludf.DUMMYFUNCTION("GOOGLETRANSLATE(B33,""en"",""ar"")"),"بعض")</f>
        <v>بعض</v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4.25" customHeight="1">
      <c r="A34" s="5"/>
      <c r="B34" s="2" t="s">
        <v>57</v>
      </c>
      <c r="C34" s="2">
        <v>470.0</v>
      </c>
      <c r="D34" s="3"/>
      <c r="E34" s="4" t="s">
        <v>58</v>
      </c>
      <c r="F34" s="3" t="str">
        <f>IFERROR(__xludf.DUMMYFUNCTION("GOOGLETRANSLATE(B34,""en"",""ar"")"),"هناك")</f>
        <v>هناك</v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4.25" customHeight="1">
      <c r="A35" s="5"/>
      <c r="B35" s="2" t="s">
        <v>59</v>
      </c>
      <c r="C35" s="2">
        <v>461.0</v>
      </c>
      <c r="D35" s="3"/>
      <c r="E35" s="4" t="s">
        <v>60</v>
      </c>
      <c r="F35" s="3" t="str">
        <f>IFERROR(__xludf.DUMMYFUNCTION("GOOGLETRANSLATE(B35,""en"",""ar"")"),"ماذا او ما")</f>
        <v>ماذا او ما</v>
      </c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4.25" customHeight="1">
      <c r="A36" s="5"/>
      <c r="B36" s="2" t="s">
        <v>61</v>
      </c>
      <c r="C36" s="2">
        <v>451.0</v>
      </c>
      <c r="D36" s="3"/>
      <c r="E36" s="4" t="s">
        <v>29</v>
      </c>
      <c r="F36" s="3" t="str">
        <f>IFERROR(__xludf.DUMMYFUNCTION("GOOGLETRANSLATE(B36,""en"",""ar"")"),"حول")</f>
        <v>حول</v>
      </c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4.25" customHeight="1">
      <c r="A37" s="5"/>
      <c r="B37" s="2" t="s">
        <v>62</v>
      </c>
      <c r="C37" s="2">
        <v>449.0</v>
      </c>
      <c r="D37" s="3"/>
      <c r="E37" s="4" t="s">
        <v>63</v>
      </c>
      <c r="F37" s="3" t="str">
        <f>IFERROR(__xludf.DUMMYFUNCTION("GOOGLETRANSLATE(B37,""en"",""ar"")"),"أيّ")</f>
        <v>أيّ</v>
      </c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4.25" customHeight="1">
      <c r="A38" s="5"/>
      <c r="B38" s="2" t="s">
        <v>64</v>
      </c>
      <c r="C38" s="2">
        <v>442.0</v>
      </c>
      <c r="D38" s="3"/>
      <c r="E38" s="4" t="s">
        <v>65</v>
      </c>
      <c r="F38" s="3" t="str">
        <f>IFERROR(__xludf.DUMMYFUNCTION("GOOGLETRANSLATE(B38,""en"",""ar"")"),"متى")</f>
        <v>متى</v>
      </c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4.25" customHeight="1">
      <c r="A39" s="5"/>
      <c r="B39" s="2" t="s">
        <v>66</v>
      </c>
      <c r="C39" s="2">
        <v>441.0</v>
      </c>
      <c r="D39" s="3"/>
      <c r="E39" s="4" t="s">
        <v>67</v>
      </c>
      <c r="F39" s="3" t="str">
        <f>IFERROR(__xludf.DUMMYFUNCTION("GOOGLETRANSLATE(B39,""en"",""ar"")"),"واحد")</f>
        <v>واحد</v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4.25" customHeight="1">
      <c r="A40" s="5"/>
      <c r="B40" s="2" t="s">
        <v>68</v>
      </c>
      <c r="C40" s="2">
        <v>439.0</v>
      </c>
      <c r="D40" s="3"/>
      <c r="E40" s="4" t="s">
        <v>31</v>
      </c>
      <c r="F40" s="3" t="str">
        <f>IFERROR(__xludf.DUMMYFUNCTION("GOOGLETRANSLATE(B40,""en"",""ar"")"),"هُم")</f>
        <v>هُم</v>
      </c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4.25" customHeight="1">
      <c r="A41" s="5"/>
      <c r="B41" s="2" t="s">
        <v>69</v>
      </c>
      <c r="C41" s="2">
        <v>438.0</v>
      </c>
      <c r="D41" s="3"/>
      <c r="E41" s="4" t="s">
        <v>70</v>
      </c>
      <c r="F41" s="3" t="str">
        <f>IFERROR(__xludf.DUMMYFUNCTION("GOOGLETRANSLATE(B41,""en"",""ar"")"),"الكل")</f>
        <v>الكل</v>
      </c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4.25" customHeight="1">
      <c r="A42" s="5"/>
      <c r="B42" s="2" t="s">
        <v>71</v>
      </c>
      <c r="C42" s="2">
        <v>419.0</v>
      </c>
      <c r="D42" s="3"/>
      <c r="E42" s="4" t="s">
        <v>43</v>
      </c>
      <c r="F42" s="3" t="str">
        <f>IFERROR(__xludf.DUMMYFUNCTION("GOOGLETRANSLATE(B42,""en"",""ar"")"),"ايضا")</f>
        <v>ايضا</v>
      </c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4.25" customHeight="1">
      <c r="A43" s="5"/>
      <c r="B43" s="2" t="s">
        <v>72</v>
      </c>
      <c r="C43" s="2">
        <v>412.0</v>
      </c>
      <c r="D43" s="3"/>
      <c r="E43" s="4" t="s">
        <v>65</v>
      </c>
      <c r="F43" s="3" t="str">
        <f>IFERROR(__xludf.DUMMYFUNCTION("GOOGLETRANSLATE(B43,""en"",""ar"")"),"كيف")</f>
        <v>كيف</v>
      </c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4.25" customHeight="1">
      <c r="A44" s="5"/>
      <c r="B44" s="2" t="s">
        <v>73</v>
      </c>
      <c r="C44" s="2">
        <v>397.0</v>
      </c>
      <c r="D44" s="3"/>
      <c r="E44" s="4" t="s">
        <v>67</v>
      </c>
      <c r="F44" s="3" t="str">
        <f>IFERROR(__xludf.DUMMYFUNCTION("GOOGLETRANSLATE(B44,""en"",""ar"")"),"عديدة")</f>
        <v>عديدة</v>
      </c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4.25" customHeight="1">
      <c r="A45" s="5"/>
      <c r="B45" s="2" t="s">
        <v>74</v>
      </c>
      <c r="C45" s="2">
        <v>389.0</v>
      </c>
      <c r="D45" s="3"/>
      <c r="E45" s="4" t="s">
        <v>75</v>
      </c>
      <c r="F45" s="3" t="str">
        <f>IFERROR(__xludf.DUMMYFUNCTION("GOOGLETRANSLATE(B45,""en"",""ar"")"),"فعل")</f>
        <v>فعل</v>
      </c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4.25" customHeight="1">
      <c r="A46" s="5"/>
      <c r="B46" s="2" t="s">
        <v>76</v>
      </c>
      <c r="C46" s="2">
        <v>384.0</v>
      </c>
      <c r="D46" s="3"/>
      <c r="E46" s="4" t="s">
        <v>13</v>
      </c>
      <c r="F46" s="3" t="str">
        <f>IFERROR(__xludf.DUMMYFUNCTION("GOOGLETRANSLATE(B46,""en"",""ar"")"),"لديها")</f>
        <v>لديها</v>
      </c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4.25" customHeight="1">
      <c r="A47" s="5"/>
      <c r="B47" s="2" t="s">
        <v>77</v>
      </c>
      <c r="C47" s="2">
        <v>378.0</v>
      </c>
      <c r="D47" s="3"/>
      <c r="E47" s="4" t="s">
        <v>78</v>
      </c>
      <c r="F47" s="3" t="str">
        <f>IFERROR(__xludf.DUMMYFUNCTION("GOOGLETRANSLATE(B47,""en"",""ar"")"),"عظم")</f>
        <v>عظم</v>
      </c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4.25" customHeight="1">
      <c r="A48" s="5"/>
      <c r="B48" s="2" t="s">
        <v>79</v>
      </c>
      <c r="C48" s="2">
        <v>372.0</v>
      </c>
      <c r="D48" s="3"/>
      <c r="E48" s="4" t="s">
        <v>80</v>
      </c>
      <c r="F48" s="3" t="str">
        <f>IFERROR(__xludf.DUMMYFUNCTION("GOOGLETRANSLATE(B48,""en"",""ar"")"),"اشخاص")</f>
        <v>اشخاص</v>
      </c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4.25" customHeight="1">
      <c r="A49" s="5"/>
      <c r="B49" s="2" t="s">
        <v>81</v>
      </c>
      <c r="C49" s="2">
        <v>369.0</v>
      </c>
      <c r="D49" s="3"/>
      <c r="E49" s="4" t="s">
        <v>82</v>
      </c>
      <c r="F49" s="3" t="str">
        <f>IFERROR(__xludf.DUMMYFUNCTION("GOOGLETRANSLATE(B49,""en"",""ar"")"),"آخر")</f>
        <v>آخر</v>
      </c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4.25" customHeight="1">
      <c r="A50" s="5"/>
      <c r="B50" s="2" t="s">
        <v>83</v>
      </c>
      <c r="C50" s="2">
        <v>369.0</v>
      </c>
      <c r="D50" s="3"/>
      <c r="E50" s="4" t="s">
        <v>84</v>
      </c>
      <c r="F50" s="3" t="str">
        <f>IFERROR(__xludf.DUMMYFUNCTION("GOOGLETRANSLATE(B50,""en"",""ar"")"),"زمن")</f>
        <v>زمن</v>
      </c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4.25" customHeight="1">
      <c r="A51" s="5"/>
      <c r="B51" s="2" t="s">
        <v>85</v>
      </c>
      <c r="C51" s="2">
        <v>352.0</v>
      </c>
      <c r="D51" s="3"/>
      <c r="E51" s="4" t="s">
        <v>86</v>
      </c>
      <c r="F51" s="3" t="str">
        <f>IFERROR(__xludf.DUMMYFUNCTION("GOOGLETRANSLATE(B51,""en"",""ar"")"),"لذا")</f>
        <v>لذا</v>
      </c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4.25" customHeight="1">
      <c r="A52" s="5"/>
      <c r="B52" s="2" t="s">
        <v>87</v>
      </c>
      <c r="C52" s="2">
        <v>352.0</v>
      </c>
      <c r="D52" s="3"/>
      <c r="E52" s="4" t="s">
        <v>88</v>
      </c>
      <c r="F52" s="3" t="str">
        <f>IFERROR(__xludf.DUMMYFUNCTION("GOOGLETRANSLATE(B52,""en"",""ar"")"),"كنت")</f>
        <v>كنت</v>
      </c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4.25" customHeight="1">
      <c r="A53" s="5"/>
      <c r="B53" s="2" t="s">
        <v>89</v>
      </c>
      <c r="C53" s="2">
        <v>352.0</v>
      </c>
      <c r="D53" s="3"/>
      <c r="E53" s="4" t="s">
        <v>31</v>
      </c>
      <c r="F53" s="3" t="str">
        <f>IFERROR(__xludf.DUMMYFUNCTION("GOOGLETRANSLATE(B53,""en"",""ar"")"),"نحن")</f>
        <v>نحن</v>
      </c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4.25" customHeight="1">
      <c r="A54" s="5"/>
      <c r="B54" s="2" t="s">
        <v>90</v>
      </c>
      <c r="C54" s="2">
        <v>344.0</v>
      </c>
      <c r="D54" s="3"/>
      <c r="E54" s="4" t="s">
        <v>63</v>
      </c>
      <c r="F54" s="3" t="str">
        <f>IFERROR(__xludf.DUMMYFUNCTION("GOOGLETRANSLATE(B54,""en"",""ar"")"),"هؤلاء")</f>
        <v>هؤلاء</v>
      </c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4.25" customHeight="1">
      <c r="A55" s="5"/>
      <c r="B55" s="2" t="s">
        <v>91</v>
      </c>
      <c r="C55" s="2">
        <v>336.0</v>
      </c>
      <c r="D55" s="3"/>
      <c r="E55" s="4" t="s">
        <v>75</v>
      </c>
      <c r="F55" s="3" t="str">
        <f>IFERROR(__xludf.DUMMYFUNCTION("GOOGLETRANSLATE(B55,""en"",""ar"")"),"مايو")</f>
        <v>مايو</v>
      </c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4.25" customHeight="1">
      <c r="A56" s="5"/>
      <c r="B56" s="2" t="s">
        <v>92</v>
      </c>
      <c r="C56" s="2">
        <v>324.0</v>
      </c>
      <c r="D56" s="3"/>
      <c r="E56" s="4" t="s">
        <v>93</v>
      </c>
      <c r="F56" s="3" t="str">
        <f>IFERROR(__xludf.DUMMYFUNCTION("GOOGLETRANSLATE(B56,""en"",""ar"")"),"مثل")</f>
        <v>مثل</v>
      </c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4.25" customHeight="1">
      <c r="A57" s="5"/>
      <c r="B57" s="2" t="s">
        <v>94</v>
      </c>
      <c r="C57" s="2">
        <v>319.0</v>
      </c>
      <c r="D57" s="3"/>
      <c r="E57" s="4" t="s">
        <v>95</v>
      </c>
      <c r="F57" s="3" t="str">
        <f>IFERROR(__xludf.DUMMYFUNCTION("GOOGLETRANSLATE(B57,""en"",""ar"")"),"استعمال")</f>
        <v>استعمال</v>
      </c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4.25" customHeight="1">
      <c r="A58" s="5"/>
      <c r="B58" s="2" t="s">
        <v>96</v>
      </c>
      <c r="C58" s="2">
        <v>301.0</v>
      </c>
      <c r="D58" s="3"/>
      <c r="E58" s="4" t="s">
        <v>33</v>
      </c>
      <c r="F58" s="3" t="str">
        <f>IFERROR(__xludf.DUMMYFUNCTION("GOOGLETRANSLATE(B58,""en"",""ar"")"),"داخل")</f>
        <v>داخل</v>
      </c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4.25" customHeight="1">
      <c r="A59" s="5"/>
      <c r="B59" s="2" t="s">
        <v>97</v>
      </c>
      <c r="C59" s="2">
        <v>301.0</v>
      </c>
      <c r="D59" s="3"/>
      <c r="E59" s="4" t="s">
        <v>6</v>
      </c>
      <c r="F59" s="3" t="str">
        <f>IFERROR(__xludf.DUMMYFUNCTION("GOOGLETRANSLATE(B59,""en"",""ar"")"),"من")</f>
        <v>من</v>
      </c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4.25" customHeight="1">
      <c r="A60" s="5"/>
      <c r="B60" s="2" t="s">
        <v>98</v>
      </c>
      <c r="C60" s="2">
        <v>296.0</v>
      </c>
      <c r="D60" s="3"/>
      <c r="E60" s="4" t="s">
        <v>99</v>
      </c>
      <c r="F60" s="3" t="str">
        <f>IFERROR(__xludf.DUMMYFUNCTION("GOOGLETRANSLATE(B60,""en"",""ar"")"),"فوق")</f>
        <v>فوق</v>
      </c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4.25" customHeight="1">
      <c r="A61" s="5"/>
      <c r="B61" s="2" t="s">
        <v>100</v>
      </c>
      <c r="C61" s="2">
        <v>294.0</v>
      </c>
      <c r="D61" s="3"/>
      <c r="E61" s="4" t="s">
        <v>101</v>
      </c>
      <c r="F61" s="3" t="str">
        <f>IFERROR(__xludf.DUMMYFUNCTION("GOOGLETRANSLATE(B61,""en"",""ar"")"),"خارج")</f>
        <v>خارج</v>
      </c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4.25" customHeight="1">
      <c r="A62" s="5"/>
      <c r="B62" s="2" t="s">
        <v>102</v>
      </c>
      <c r="C62" s="2">
        <v>281.0</v>
      </c>
      <c r="D62" s="3"/>
      <c r="E62" s="4" t="s">
        <v>31</v>
      </c>
      <c r="F62" s="3" t="str">
        <f>IFERROR(__xludf.DUMMYFUNCTION("GOOGLETRANSLATE(B62,""en"",""ar"")"),"منظمة الصحة العالمية")</f>
        <v>منظمة الصحة العالمية</v>
      </c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4.25" customHeight="1">
      <c r="A63" s="5"/>
      <c r="B63" s="2" t="s">
        <v>103</v>
      </c>
      <c r="C63" s="2">
        <v>269.0</v>
      </c>
      <c r="D63" s="3"/>
      <c r="E63" s="4" t="s">
        <v>31</v>
      </c>
      <c r="F63" s="3" t="str">
        <f>IFERROR(__xludf.DUMMYFUNCTION("GOOGLETRANSLATE(B63,""en"",""ar"")"),"هم")</f>
        <v>هم</v>
      </c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4.25" customHeight="1">
      <c r="A64" s="5"/>
      <c r="B64" s="2" t="s">
        <v>104</v>
      </c>
      <c r="C64" s="2">
        <v>262.0</v>
      </c>
      <c r="D64" s="3"/>
      <c r="E64" s="4" t="s">
        <v>95</v>
      </c>
      <c r="F64" s="3" t="str">
        <f>IFERROR(__xludf.DUMMYFUNCTION("GOOGLETRANSLATE(B64,""en"",""ar"")"),"صنع")</f>
        <v>صنع</v>
      </c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4.25" customHeight="1">
      <c r="A65" s="5"/>
      <c r="B65" s="2" t="s">
        <v>105</v>
      </c>
      <c r="C65" s="2">
        <v>248.0</v>
      </c>
      <c r="D65" s="3"/>
      <c r="E65" s="4" t="s">
        <v>6</v>
      </c>
      <c r="F65" s="3" t="str">
        <f>IFERROR(__xludf.DUMMYFUNCTION("GOOGLETRANSLATE(B65,""en"",""ar"")"),"لان")</f>
        <v>لان</v>
      </c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4.25" customHeight="1">
      <c r="A66" s="5"/>
      <c r="B66" s="2" t="s">
        <v>106</v>
      </c>
      <c r="C66" s="2">
        <v>236.0</v>
      </c>
      <c r="D66" s="3"/>
      <c r="E66" s="4" t="s">
        <v>51</v>
      </c>
      <c r="F66" s="3" t="str">
        <f>IFERROR(__xludf.DUMMYFUNCTION("GOOGLETRANSLATE(B66,""en"",""ar"")"),"مثل")</f>
        <v>مثل</v>
      </c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4.25" customHeight="1">
      <c r="A67" s="5"/>
      <c r="B67" s="2" t="s">
        <v>107</v>
      </c>
      <c r="C67" s="2">
        <v>235.0</v>
      </c>
      <c r="D67" s="3"/>
      <c r="E67" s="4" t="s">
        <v>29</v>
      </c>
      <c r="F67" s="3" t="str">
        <f>IFERROR(__xludf.DUMMYFUNCTION("GOOGLETRANSLATE(B67,""en"",""ar"")"),"عبر")</f>
        <v>عبر</v>
      </c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4.25" customHeight="1">
      <c r="A68" s="5"/>
      <c r="B68" s="2" t="s">
        <v>108</v>
      </c>
      <c r="C68" s="2">
        <v>233.0</v>
      </c>
      <c r="D68" s="3"/>
      <c r="E68" s="4" t="s">
        <v>13</v>
      </c>
      <c r="F68" s="3" t="str">
        <f>IFERROR(__xludf.DUMMYFUNCTION("GOOGLETRANSLATE(B68,""en"",""ar"")"),"احصل على")</f>
        <v>احصل على</v>
      </c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4.25" customHeight="1">
      <c r="A69" s="5"/>
      <c r="B69" s="2" t="s">
        <v>109</v>
      </c>
      <c r="C69" s="2">
        <v>224.0</v>
      </c>
      <c r="D69" s="3"/>
      <c r="E69" s="4" t="s">
        <v>84</v>
      </c>
      <c r="F69" s="3" t="str">
        <f>IFERROR(__xludf.DUMMYFUNCTION("GOOGLETRANSLATE(B69,""en"",""ar"")"),"الشغل")</f>
        <v>الشغل</v>
      </c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4.25" customHeight="1">
      <c r="A70" s="5"/>
      <c r="B70" s="2" t="s">
        <v>110</v>
      </c>
      <c r="C70" s="2">
        <v>223.0</v>
      </c>
      <c r="D70" s="3"/>
      <c r="E70" s="4" t="s">
        <v>111</v>
      </c>
      <c r="F70" s="3" t="str">
        <f>IFERROR(__xludf.DUMMYFUNCTION("GOOGLETRANSLATE(B70,""en"",""ar"")"),"حتى")</f>
        <v>حتى</v>
      </c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4.25" customHeight="1">
      <c r="A71" s="5"/>
      <c r="B71" s="2" t="s">
        <v>112</v>
      </c>
      <c r="C71" s="2">
        <v>215.0</v>
      </c>
      <c r="D71" s="3"/>
      <c r="E71" s="4" t="s">
        <v>113</v>
      </c>
      <c r="F71" s="3" t="str">
        <f>IFERROR(__xludf.DUMMYFUNCTION("GOOGLETRANSLATE(B71,""en"",""ar"")"),"مختلف")</f>
        <v>مختلف</v>
      </c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4.25" customHeight="1">
      <c r="A72" s="5"/>
      <c r="B72" s="2" t="s">
        <v>114</v>
      </c>
      <c r="C72" s="2">
        <v>215.0</v>
      </c>
      <c r="D72" s="3"/>
      <c r="E72" s="4" t="s">
        <v>31</v>
      </c>
      <c r="F72" s="3" t="str">
        <f>IFERROR(__xludf.DUMMYFUNCTION("GOOGLETRANSLATE(B72,""en"",""ar"")"),"انها")</f>
        <v>انها</v>
      </c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4.25" customHeight="1">
      <c r="A73" s="5"/>
      <c r="B73" s="2" t="s">
        <v>115</v>
      </c>
      <c r="C73" s="2">
        <v>213.0</v>
      </c>
      <c r="D73" s="3"/>
      <c r="E73" s="4" t="s">
        <v>116</v>
      </c>
      <c r="F73" s="3" t="str">
        <f>IFERROR(__xludf.DUMMYFUNCTION("GOOGLETRANSLATE(B73,""en"",""ar"")"),"رقم")</f>
        <v>رقم</v>
      </c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4.25" customHeight="1">
      <c r="A74" s="5"/>
      <c r="B74" s="2" t="s">
        <v>117</v>
      </c>
      <c r="C74" s="2">
        <v>213.0</v>
      </c>
      <c r="D74" s="3"/>
      <c r="E74" s="4" t="s">
        <v>31</v>
      </c>
      <c r="F74" s="3" t="str">
        <f>IFERROR(__xludf.DUMMYFUNCTION("GOOGLETRANSLATE(B74,""en"",""ar"")"),"ملكنا")</f>
        <v>ملكنا</v>
      </c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4.25" customHeight="1">
      <c r="A75" s="5"/>
      <c r="B75" s="2" t="s">
        <v>118</v>
      </c>
      <c r="C75" s="2">
        <v>210.0</v>
      </c>
      <c r="D75" s="3"/>
      <c r="E75" s="4" t="s">
        <v>51</v>
      </c>
      <c r="F75" s="3" t="str">
        <f>IFERROR(__xludf.DUMMYFUNCTION("GOOGLETRANSLATE(B75,""en"",""ar"")"),"الجديد")</f>
        <v>الجديد</v>
      </c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4.25" customHeight="1">
      <c r="A76" s="5"/>
      <c r="B76" s="2" t="s">
        <v>119</v>
      </c>
      <c r="C76" s="2">
        <v>209.0</v>
      </c>
      <c r="D76" s="3"/>
      <c r="E76" s="4" t="s">
        <v>120</v>
      </c>
      <c r="F76" s="3" t="str">
        <f>IFERROR(__xludf.DUMMYFUNCTION("GOOGLETRANSLATE(B76,""en"",""ar"")"),"فيلم")</f>
        <v>فيلم</v>
      </c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4.25" customHeight="1">
      <c r="A77" s="5"/>
      <c r="B77" s="2" t="s">
        <v>121</v>
      </c>
      <c r="C77" s="2">
        <v>208.0</v>
      </c>
      <c r="D77" s="3"/>
      <c r="E77" s="4" t="s">
        <v>51</v>
      </c>
      <c r="F77" s="3" t="str">
        <f>IFERROR(__xludf.DUMMYFUNCTION("GOOGLETRANSLATE(B77,""en"",""ar"")"),"فقط")</f>
        <v>فقط</v>
      </c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4.25" customHeight="1">
      <c r="A78" s="5"/>
      <c r="B78" s="2" t="s">
        <v>122</v>
      </c>
      <c r="C78" s="2">
        <v>208.0</v>
      </c>
      <c r="D78" s="3"/>
      <c r="E78" s="4" t="s">
        <v>123</v>
      </c>
      <c r="F78" s="3" t="str">
        <f>IFERROR(__xludf.DUMMYFUNCTION("GOOGLETRANSLATE(B78,""en"",""ar"")"),"فقط")</f>
        <v>فقط</v>
      </c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4.25" customHeight="1">
      <c r="A79" s="5"/>
      <c r="B79" s="2" t="s">
        <v>124</v>
      </c>
      <c r="C79" s="2">
        <v>204.0</v>
      </c>
      <c r="D79" s="3"/>
      <c r="E79" s="4" t="s">
        <v>13</v>
      </c>
      <c r="F79" s="3" t="str">
        <f>IFERROR(__xludf.DUMMYFUNCTION("GOOGLETRANSLATE(B79,""en"",""ar"")"),"نرى")</f>
        <v>نرى</v>
      </c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4.25" customHeight="1">
      <c r="A80" s="5"/>
      <c r="B80" s="2" t="s">
        <v>125</v>
      </c>
      <c r="C80" s="2">
        <v>204.0</v>
      </c>
      <c r="D80" s="3"/>
      <c r="E80" s="4" t="s">
        <v>113</v>
      </c>
      <c r="F80" s="3" t="str">
        <f>IFERROR(__xludf.DUMMYFUNCTION("GOOGLETRANSLATE(B80,""en"",""ar"")"),"تستخدم")</f>
        <v>تستخدم</v>
      </c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4.25" customHeight="1">
      <c r="A81" s="5"/>
      <c r="B81" s="2" t="s">
        <v>126</v>
      </c>
      <c r="C81" s="2">
        <v>201.0</v>
      </c>
      <c r="D81" s="3"/>
      <c r="E81" s="4" t="s">
        <v>127</v>
      </c>
      <c r="F81" s="3" t="str">
        <f>IFERROR(__xludf.DUMMYFUNCTION("GOOGLETRANSLATE(B81,""en"",""ar"")"),"جيد")</f>
        <v>جيد</v>
      </c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4.25" customHeight="1">
      <c r="A82" s="5"/>
      <c r="B82" s="2" t="s">
        <v>128</v>
      </c>
      <c r="C82" s="2">
        <v>201.0</v>
      </c>
      <c r="D82" s="3"/>
      <c r="E82" s="4" t="s">
        <v>129</v>
      </c>
      <c r="F82" s="3" t="str">
        <f>IFERROR(__xludf.DUMMYFUNCTION("GOOGLETRANSLATE(B82,""en"",""ar"")"),"ماء")</f>
        <v>ماء</v>
      </c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4.25" customHeight="1">
      <c r="A83" s="5"/>
      <c r="B83" s="2" t="s">
        <v>130</v>
      </c>
      <c r="C83" s="2">
        <v>200.0</v>
      </c>
      <c r="D83" s="3"/>
      <c r="E83" s="4" t="s">
        <v>88</v>
      </c>
      <c r="F83" s="3" t="str">
        <f>IFERROR(__xludf.DUMMYFUNCTION("GOOGLETRANSLATE(B83,""en"",""ar"")"),"ايضا")</f>
        <v>ايضا</v>
      </c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4.25" customHeight="1">
      <c r="A84" s="5"/>
      <c r="B84" s="2" t="s">
        <v>131</v>
      </c>
      <c r="C84" s="2">
        <v>193.0</v>
      </c>
      <c r="D84" s="3"/>
      <c r="E84" s="4" t="s">
        <v>13</v>
      </c>
      <c r="F84" s="3" t="str">
        <f>IFERROR(__xludf.DUMMYFUNCTION("GOOGLETRANSLATE(B84,""en"",""ar"")"),"بحاجة إلى")</f>
        <v>بحاجة إلى</v>
      </c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4.25" customHeight="1">
      <c r="A85" s="5"/>
      <c r="B85" s="2" t="s">
        <v>132</v>
      </c>
      <c r="C85" s="2">
        <v>191.0</v>
      </c>
      <c r="D85" s="3"/>
      <c r="E85" s="4" t="s">
        <v>75</v>
      </c>
      <c r="F85" s="3" t="str">
        <f>IFERROR(__xludf.DUMMYFUNCTION("GOOGLETRANSLATE(B85,""en"",""ar"")"),"ينبغي")</f>
        <v>ينبغي</v>
      </c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4.25" customHeight="1">
      <c r="A86" s="5"/>
      <c r="B86" s="2" t="s">
        <v>133</v>
      </c>
      <c r="C86" s="2">
        <v>191.0</v>
      </c>
      <c r="D86" s="3"/>
      <c r="E86" s="4" t="s">
        <v>43</v>
      </c>
      <c r="F86" s="3" t="str">
        <f>IFERROR(__xludf.DUMMYFUNCTION("GOOGLETRANSLATE(B86,""en"",""ar"")"),"جداً")</f>
        <v>جداً</v>
      </c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4.25" customHeight="1">
      <c r="A87" s="5"/>
      <c r="B87" s="2" t="s">
        <v>134</v>
      </c>
      <c r="C87" s="2">
        <v>190.0</v>
      </c>
      <c r="D87" s="3"/>
      <c r="E87" s="4" t="s">
        <v>51</v>
      </c>
      <c r="F87" s="3" t="str">
        <f>IFERROR(__xludf.DUMMYFUNCTION("GOOGLETRANSLATE(B87,""en"",""ar"")"),"أي")</f>
        <v>أي</v>
      </c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4.25" customHeight="1">
      <c r="A88" s="5"/>
      <c r="B88" s="2" t="s">
        <v>135</v>
      </c>
      <c r="C88" s="2">
        <v>187.0</v>
      </c>
      <c r="D88" s="3"/>
      <c r="E88" s="4" t="s">
        <v>80</v>
      </c>
      <c r="F88" s="3" t="str">
        <f>IFERROR(__xludf.DUMMYFUNCTION("GOOGLETRANSLATE(B88,""en"",""ar"")"),"التاريخ")</f>
        <v>التاريخ</v>
      </c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4.25" customHeight="1">
      <c r="A89" s="5"/>
      <c r="B89" s="2" t="s">
        <v>136</v>
      </c>
      <c r="C89" s="2">
        <v>187.0</v>
      </c>
      <c r="D89" s="3"/>
      <c r="E89" s="4" t="s">
        <v>43</v>
      </c>
      <c r="F89" s="3" t="str">
        <f>IFERROR(__xludf.DUMMYFUNCTION("GOOGLETRANSLATE(B89,""en"",""ar"")"),"غالباً")</f>
        <v>غالباً</v>
      </c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4.25" customHeight="1">
      <c r="A90" s="5"/>
      <c r="B90" s="2" t="s">
        <v>137</v>
      </c>
      <c r="C90" s="2">
        <v>185.0</v>
      </c>
      <c r="D90" s="3"/>
      <c r="E90" s="4" t="s">
        <v>80</v>
      </c>
      <c r="F90" s="3" t="str">
        <f>IFERROR(__xludf.DUMMYFUNCTION("GOOGLETRANSLATE(B90,""en"",""ar"")"),"طريق")</f>
        <v>طريق</v>
      </c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4.25" customHeight="1">
      <c r="A91" s="5"/>
      <c r="B91" s="2" t="s">
        <v>138</v>
      </c>
      <c r="C91" s="2">
        <v>184.0</v>
      </c>
      <c r="D91" s="3"/>
      <c r="E91" s="4" t="s">
        <v>139</v>
      </c>
      <c r="F91" s="3" t="str">
        <f>IFERROR(__xludf.DUMMYFUNCTION("GOOGLETRANSLATE(B91,""en"",""ar"")"),"نحن سوف")</f>
        <v>نحن سوف</v>
      </c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4.25" customHeight="1">
      <c r="A92" s="5"/>
      <c r="B92" s="2" t="s">
        <v>140</v>
      </c>
      <c r="C92" s="2">
        <v>183.0</v>
      </c>
      <c r="D92" s="3"/>
      <c r="E92" s="4" t="s">
        <v>80</v>
      </c>
      <c r="F92" s="3" t="str">
        <f>IFERROR(__xludf.DUMMYFUNCTION("GOOGLETRANSLATE(B92,""en"",""ar"")"),"فن")</f>
        <v>فن</v>
      </c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4.25" customHeight="1">
      <c r="A93" s="5"/>
      <c r="B93" s="2" t="s">
        <v>141</v>
      </c>
      <c r="C93" s="2">
        <v>181.0</v>
      </c>
      <c r="D93" s="3"/>
      <c r="E93" s="4" t="s">
        <v>13</v>
      </c>
      <c r="F93" s="3" t="str">
        <f>IFERROR(__xludf.DUMMYFUNCTION("GOOGLETRANSLATE(B93,""en"",""ar"")"),"أعرف")</f>
        <v>أعرف</v>
      </c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4.25" customHeight="1">
      <c r="A94" s="5"/>
      <c r="B94" s="2" t="s">
        <v>142</v>
      </c>
      <c r="C94" s="2">
        <v>180.0</v>
      </c>
      <c r="D94" s="3"/>
      <c r="E94" s="4" t="s">
        <v>88</v>
      </c>
      <c r="F94" s="3" t="str">
        <f>IFERROR(__xludf.DUMMYFUNCTION("GOOGLETRANSLATE(B94,""en"",""ar"")"),"كانوا")</f>
        <v>كانوا</v>
      </c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4.25" customHeight="1">
      <c r="A95" s="5"/>
      <c r="B95" s="2" t="s">
        <v>143</v>
      </c>
      <c r="C95" s="2">
        <v>179.0</v>
      </c>
      <c r="D95" s="3"/>
      <c r="E95" s="4" t="s">
        <v>144</v>
      </c>
      <c r="F95" s="3" t="str">
        <f>IFERROR(__xludf.DUMMYFUNCTION("GOOGLETRANSLATE(B95,""en"",""ar"")"),"ومن بعد")</f>
        <v>ومن بعد</v>
      </c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4.25" customHeight="1">
      <c r="A96" s="5"/>
      <c r="B96" s="2" t="s">
        <v>145</v>
      </c>
      <c r="C96" s="2">
        <v>177.0</v>
      </c>
      <c r="D96" s="3"/>
      <c r="E96" s="4" t="s">
        <v>31</v>
      </c>
      <c r="F96" s="3" t="str">
        <f>IFERROR(__xludf.DUMMYFUNCTION("GOOGLETRANSLATE(B96,""en"",""ar"")"),"لي")</f>
        <v>لي</v>
      </c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4.25" customHeight="1">
      <c r="A97" s="5"/>
      <c r="B97" s="2" t="s">
        <v>146</v>
      </c>
      <c r="C97" s="2">
        <v>176.0</v>
      </c>
      <c r="D97" s="3"/>
      <c r="E97" s="4" t="s">
        <v>144</v>
      </c>
      <c r="F97" s="3" t="str">
        <f>IFERROR(__xludf.DUMMYFUNCTION("GOOGLETRANSLATE(B97,""en"",""ar"")"),"أول")</f>
        <v>أول</v>
      </c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4.25" customHeight="1">
      <c r="A98" s="5"/>
      <c r="B98" s="2" t="s">
        <v>147</v>
      </c>
      <c r="C98" s="2">
        <v>176.0</v>
      </c>
      <c r="D98" s="3"/>
      <c r="E98" s="4" t="s">
        <v>13</v>
      </c>
      <c r="F98" s="3" t="str">
        <f>IFERROR(__xludf.DUMMYFUNCTION("GOOGLETRANSLATE(B98,""en"",""ar"")"),"سيكون")</f>
        <v>سيكون</v>
      </c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4.25" customHeight="1">
      <c r="A99" s="5"/>
      <c r="B99" s="2" t="s">
        <v>148</v>
      </c>
      <c r="C99" s="2">
        <v>174.0</v>
      </c>
      <c r="D99" s="3"/>
      <c r="E99" s="4" t="s">
        <v>149</v>
      </c>
      <c r="F99" s="3" t="str">
        <f>IFERROR(__xludf.DUMMYFUNCTION("GOOGLETRANSLATE(B99,""en"",""ar"")"),"مال")</f>
        <v>مال</v>
      </c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4.25" customHeight="1">
      <c r="A100" s="5"/>
      <c r="B100" s="2" t="s">
        <v>150</v>
      </c>
      <c r="C100" s="2">
        <v>173.0</v>
      </c>
      <c r="D100" s="3"/>
      <c r="E100" s="4" t="s">
        <v>51</v>
      </c>
      <c r="F100" s="3" t="str">
        <f>IFERROR(__xludf.DUMMYFUNCTION("GOOGLETRANSLATE(B100,""en"",""ar"")"),"كل")</f>
        <v>كل</v>
      </c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4.25" customHeight="1">
      <c r="A101" s="5"/>
      <c r="B101" s="2" t="s">
        <v>151</v>
      </c>
      <c r="C101" s="2">
        <v>170.0</v>
      </c>
      <c r="D101" s="3"/>
      <c r="E101" s="4" t="s">
        <v>152</v>
      </c>
      <c r="F101" s="3" t="str">
        <f>IFERROR(__xludf.DUMMYFUNCTION("GOOGLETRANSLATE(B101,""en"",""ar"")"),"خلال")</f>
        <v>خلال</v>
      </c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4.25" customHeight="1">
      <c r="A102" s="5"/>
      <c r="B102" s="2" t="s">
        <v>153</v>
      </c>
      <c r="C102" s="2">
        <v>169.0</v>
      </c>
      <c r="D102" s="3"/>
      <c r="E102" s="4" t="s">
        <v>80</v>
      </c>
      <c r="F102" s="3" t="str">
        <f>IFERROR(__xludf.DUMMYFUNCTION("GOOGLETRANSLATE(B102,""en"",""ar"")"),"العالمية")</f>
        <v>العالمية</v>
      </c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4.25" customHeight="1">
      <c r="A103" s="5"/>
      <c r="B103" s="2" t="s">
        <v>154</v>
      </c>
      <c r="C103" s="2">
        <v>168.0</v>
      </c>
      <c r="D103" s="3"/>
      <c r="E103" s="4" t="s">
        <v>80</v>
      </c>
      <c r="F103" s="3" t="str">
        <f>IFERROR(__xludf.DUMMYFUNCTION("GOOGLETRANSLATE(B103,""en"",""ar"")"),"معلومة")</f>
        <v>معلومة</v>
      </c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4.25" customHeight="1">
      <c r="A104" s="5"/>
      <c r="B104" s="2" t="s">
        <v>155</v>
      </c>
      <c r="C104" s="2">
        <v>167.0</v>
      </c>
      <c r="D104" s="3"/>
      <c r="E104" s="4" t="s">
        <v>80</v>
      </c>
      <c r="F104" s="3" t="str">
        <f>IFERROR(__xludf.DUMMYFUNCTION("GOOGLETRANSLATE(B104,""en"",""ar"")"),"خريطة")</f>
        <v>خريطة</v>
      </c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4.25" customHeight="1">
      <c r="A105" s="5"/>
      <c r="B105" s="2" t="s">
        <v>156</v>
      </c>
      <c r="C105" s="2">
        <v>166.0</v>
      </c>
      <c r="D105" s="3"/>
      <c r="E105" s="4" t="s">
        <v>13</v>
      </c>
      <c r="F105" s="3" t="str">
        <f>IFERROR(__xludf.DUMMYFUNCTION("GOOGLETRANSLATE(B105,""en"",""ar"")"),"تجد")</f>
        <v>تجد</v>
      </c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4.25" customHeight="1">
      <c r="A106" s="5"/>
      <c r="B106" s="2" t="s">
        <v>157</v>
      </c>
      <c r="C106" s="2">
        <v>166.0</v>
      </c>
      <c r="D106" s="3"/>
      <c r="E106" s="4" t="s">
        <v>158</v>
      </c>
      <c r="F106" s="3" t="str">
        <f>IFERROR(__xludf.DUMMYFUNCTION("GOOGLETRANSLATE(B106,""en"",""ar"")"),"أين")</f>
        <v>أين</v>
      </c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4.25" customHeight="1">
      <c r="A107" s="5"/>
      <c r="B107" s="2" t="s">
        <v>159</v>
      </c>
      <c r="C107" s="2">
        <v>165.0</v>
      </c>
      <c r="D107" s="3"/>
      <c r="E107" s="4" t="s">
        <v>51</v>
      </c>
      <c r="F107" s="3" t="str">
        <f>IFERROR(__xludf.DUMMYFUNCTION("GOOGLETRANSLATE(B107,""en"",""ar"")"),"كثير")</f>
        <v>كثير</v>
      </c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4.25" customHeight="1">
      <c r="A108" s="5"/>
      <c r="B108" s="2" t="s">
        <v>160</v>
      </c>
      <c r="C108" s="2">
        <v>164.0</v>
      </c>
      <c r="D108" s="3"/>
      <c r="E108" s="4" t="s">
        <v>13</v>
      </c>
      <c r="F108" s="3" t="str">
        <f>IFERROR(__xludf.DUMMYFUNCTION("GOOGLETRANSLATE(B108,""en"",""ar"")"),"يأخذ")</f>
        <v>يأخذ</v>
      </c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4.25" customHeight="1">
      <c r="A109" s="5"/>
      <c r="B109" s="2" t="s">
        <v>161</v>
      </c>
      <c r="C109" s="2">
        <v>164.0</v>
      </c>
      <c r="D109" s="3"/>
      <c r="E109" s="4" t="s">
        <v>80</v>
      </c>
      <c r="F109" s="3" t="str">
        <f>IFERROR(__xludf.DUMMYFUNCTION("GOOGLETRANSLATE(B109,""en"",""ar"")"),"اثنين")</f>
        <v>اثنين</v>
      </c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4.25" customHeight="1">
      <c r="A110" s="5"/>
      <c r="B110" s="2" t="s">
        <v>162</v>
      </c>
      <c r="C110" s="2">
        <v>163.0</v>
      </c>
      <c r="D110" s="3"/>
      <c r="E110" s="4" t="s">
        <v>13</v>
      </c>
      <c r="F110" s="3" t="str">
        <f>IFERROR(__xludf.DUMMYFUNCTION("GOOGLETRANSLATE(B110,""en"",""ar"")"),"يريد")</f>
        <v>يريد</v>
      </c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4.25" customHeight="1">
      <c r="A111" s="5"/>
      <c r="B111" s="2" t="s">
        <v>163</v>
      </c>
      <c r="C111" s="2">
        <v>160.0</v>
      </c>
      <c r="D111" s="3"/>
      <c r="E111" s="4" t="s">
        <v>113</v>
      </c>
      <c r="F111" s="3" t="str">
        <f>IFERROR(__xludf.DUMMYFUNCTION("GOOGLETRANSLATE(B111,""en"",""ar"")"),"مهم")</f>
        <v>مهم</v>
      </c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4.25" customHeight="1">
      <c r="A112" s="5"/>
      <c r="B112" s="2" t="s">
        <v>164</v>
      </c>
      <c r="C112" s="2">
        <v>159.0</v>
      </c>
      <c r="D112" s="3"/>
      <c r="E112" s="4" t="s">
        <v>80</v>
      </c>
      <c r="F112" s="3" t="str">
        <f>IFERROR(__xludf.DUMMYFUNCTION("GOOGLETRANSLATE(B112,""en"",""ar"")"),"الأسرة")</f>
        <v>الأسرة</v>
      </c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4.25" customHeight="1">
      <c r="A113" s="5"/>
      <c r="B113" s="2" t="s">
        <v>165</v>
      </c>
      <c r="C113" s="2">
        <v>156.0</v>
      </c>
      <c r="D113" s="3"/>
      <c r="E113" s="4" t="s">
        <v>31</v>
      </c>
      <c r="F113" s="3" t="str">
        <f>IFERROR(__xludf.DUMMYFUNCTION("GOOGLETRANSLATE(B113,""en"",""ar"")"),"أولئك")</f>
        <v>أولئك</v>
      </c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4.25" customHeight="1">
      <c r="A114" s="5"/>
      <c r="B114" s="2" t="s">
        <v>166</v>
      </c>
      <c r="C114" s="2">
        <v>147.0</v>
      </c>
      <c r="D114" s="3"/>
      <c r="E114" s="4" t="s">
        <v>120</v>
      </c>
      <c r="F114" s="3" t="str">
        <f>IFERROR(__xludf.DUMMYFUNCTION("GOOGLETRANSLATE(B114,""en"",""ar"")"),"مثال")</f>
        <v>مثال</v>
      </c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4.25" customHeight="1">
      <c r="A115" s="5"/>
      <c r="B115" s="2" t="s">
        <v>167</v>
      </c>
      <c r="C115" s="2">
        <v>147.0</v>
      </c>
      <c r="D115" s="3"/>
      <c r="E115" s="4" t="s">
        <v>168</v>
      </c>
      <c r="F115" s="3" t="str">
        <f>IFERROR(__xludf.DUMMYFUNCTION("GOOGLETRANSLATE(B115,""en"",""ar"")"),"في حين")</f>
        <v>في حين</v>
      </c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4.25" customHeight="1">
      <c r="A116" s="5"/>
      <c r="B116" s="2" t="s">
        <v>169</v>
      </c>
      <c r="C116" s="2">
        <v>144.0</v>
      </c>
      <c r="D116" s="3"/>
      <c r="E116" s="4" t="s">
        <v>31</v>
      </c>
      <c r="F116" s="3" t="str">
        <f>IFERROR(__xludf.DUMMYFUNCTION("GOOGLETRANSLATE(B116,""en"",""ar"")"),"هو")</f>
        <v>هو</v>
      </c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4.25" customHeight="1">
      <c r="A117" s="5"/>
      <c r="B117" s="2" t="s">
        <v>170</v>
      </c>
      <c r="C117" s="2">
        <v>144.0</v>
      </c>
      <c r="D117" s="3"/>
      <c r="E117" s="4" t="s">
        <v>171</v>
      </c>
      <c r="F117" s="3" t="str">
        <f>IFERROR(__xludf.DUMMYFUNCTION("GOOGLETRANSLATE(B117,""en"",""ar"")"),"نظرة")</f>
        <v>نظرة</v>
      </c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4.25" customHeight="1">
      <c r="A118" s="5"/>
      <c r="B118" s="2" t="s">
        <v>172</v>
      </c>
      <c r="C118" s="2">
        <v>143.0</v>
      </c>
      <c r="D118" s="3"/>
      <c r="E118" s="4" t="s">
        <v>80</v>
      </c>
      <c r="F118" s="3" t="str">
        <f>IFERROR(__xludf.DUMMYFUNCTION("GOOGLETRANSLATE(B118,""en"",""ar"")"),"حكومة")</f>
        <v>حكومة</v>
      </c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4.25" customHeight="1">
      <c r="A119" s="5"/>
      <c r="B119" s="2" t="s">
        <v>173</v>
      </c>
      <c r="C119" s="2">
        <v>141.0</v>
      </c>
      <c r="D119" s="3"/>
      <c r="E119" s="4" t="s">
        <v>174</v>
      </c>
      <c r="F119" s="3" t="str">
        <f>IFERROR(__xludf.DUMMYFUNCTION("GOOGLETRANSLATE(B119,""en"",""ar"")"),"قبل")</f>
        <v>قبل</v>
      </c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4.25" customHeight="1">
      <c r="A120" s="5"/>
      <c r="B120" s="2" t="s">
        <v>175</v>
      </c>
      <c r="C120" s="2">
        <v>141.0</v>
      </c>
      <c r="D120" s="3"/>
      <c r="E120" s="4" t="s">
        <v>171</v>
      </c>
      <c r="F120" s="3" t="str">
        <f>IFERROR(__xludf.DUMMYFUNCTION("GOOGLETRANSLATE(B120,""en"",""ar"")"),"يساعد")</f>
        <v>يساعد</v>
      </c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4.25" customHeight="1">
      <c r="A121" s="5"/>
      <c r="B121" s="2" t="s">
        <v>176</v>
      </c>
      <c r="C121" s="2">
        <v>137.0</v>
      </c>
      <c r="D121" s="3"/>
      <c r="E121" s="4" t="s">
        <v>8</v>
      </c>
      <c r="F121" s="3" t="str">
        <f>IFERROR(__xludf.DUMMYFUNCTION("GOOGLETRANSLATE(B121,""en"",""ar"")"),"ما بين")</f>
        <v>ما بين</v>
      </c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4.25" customHeight="1">
      <c r="A122" s="5"/>
      <c r="B122" s="2" t="s">
        <v>177</v>
      </c>
      <c r="C122" s="2">
        <v>131.0</v>
      </c>
      <c r="D122" s="3"/>
      <c r="E122" s="4" t="s">
        <v>178</v>
      </c>
      <c r="F122" s="3" t="str">
        <f>IFERROR(__xludf.DUMMYFUNCTION("GOOGLETRANSLATE(B122,""en"",""ar"")"),"يذهب")</f>
        <v>يذهب</v>
      </c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4.25" customHeight="1">
      <c r="A123" s="5"/>
      <c r="B123" s="2" t="s">
        <v>179</v>
      </c>
      <c r="C123" s="2">
        <v>130.0</v>
      </c>
      <c r="D123" s="3"/>
      <c r="E123" s="4" t="s">
        <v>180</v>
      </c>
      <c r="F123" s="3" t="str">
        <f>IFERROR(__xludf.DUMMYFUNCTION("GOOGLETRANSLATE(B123,""en"",""ar"")"),"ملك")</f>
        <v>ملك</v>
      </c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4.25" customHeight="1">
      <c r="A124" s="5"/>
      <c r="B124" s="2" t="s">
        <v>181</v>
      </c>
      <c r="C124" s="2">
        <v>128.0</v>
      </c>
      <c r="D124" s="3"/>
      <c r="E124" s="4" t="s">
        <v>43</v>
      </c>
      <c r="F124" s="3" t="str">
        <f>IFERROR(__xludf.DUMMYFUNCTION("GOOGLETRANSLATE(B124,""en"",""ar"")"),"ومع ذلك")</f>
        <v>ومع ذلك</v>
      </c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4.25" customHeight="1">
      <c r="A125" s="5"/>
      <c r="B125" s="2" t="s">
        <v>182</v>
      </c>
      <c r="C125" s="2">
        <v>127.0</v>
      </c>
      <c r="D125" s="3"/>
      <c r="E125" s="4" t="s">
        <v>149</v>
      </c>
      <c r="F125" s="3" t="str">
        <f>IFERROR(__xludf.DUMMYFUNCTION("GOOGLETRANSLATE(B125,""en"",""ar"")"),"اعمال")</f>
        <v>اعمال</v>
      </c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4.25" customHeight="1">
      <c r="A126" s="5"/>
      <c r="B126" s="2" t="s">
        <v>183</v>
      </c>
      <c r="C126" s="2">
        <v>127.0</v>
      </c>
      <c r="D126" s="3"/>
      <c r="E126" s="4" t="s">
        <v>31</v>
      </c>
      <c r="F126" s="3" t="str">
        <f>IFERROR(__xludf.DUMMYFUNCTION("GOOGLETRANSLATE(B126,""en"",""ar"")"),"نحن")</f>
        <v>نحن</v>
      </c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4.25" customHeight="1">
      <c r="A127" s="5"/>
      <c r="B127" s="2" t="s">
        <v>184</v>
      </c>
      <c r="C127" s="2">
        <v>126.0</v>
      </c>
      <c r="D127" s="3"/>
      <c r="E127" s="4" t="s">
        <v>127</v>
      </c>
      <c r="F127" s="3" t="str">
        <f>IFERROR(__xludf.DUMMYFUNCTION("GOOGLETRANSLATE(B127,""en"",""ar"")"),"رائعة")</f>
        <v>رائعة</v>
      </c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4.25" customHeight="1">
      <c r="A128" s="5"/>
      <c r="B128" s="2" t="s">
        <v>185</v>
      </c>
      <c r="C128" s="2">
        <v>125.0</v>
      </c>
      <c r="D128" s="3"/>
      <c r="E128" s="4" t="s">
        <v>63</v>
      </c>
      <c r="F128" s="3" t="str">
        <f>IFERROR(__xludf.DUMMYFUNCTION("GOOGLETRANSLATE(B128,""en"",""ar"")"),"له")</f>
        <v>له</v>
      </c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4.25" customHeight="1">
      <c r="A129" s="5"/>
      <c r="B129" s="2" t="s">
        <v>186</v>
      </c>
      <c r="C129" s="2">
        <v>124.0</v>
      </c>
      <c r="D129" s="3"/>
      <c r="E129" s="4" t="s">
        <v>95</v>
      </c>
      <c r="F129" s="3" t="str">
        <f>IFERROR(__xludf.DUMMYFUNCTION("GOOGLETRANSLATE(B129,""en"",""ar"")"),"كون")</f>
        <v>كون</v>
      </c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4.25" customHeight="1">
      <c r="A130" s="5"/>
      <c r="B130" s="2" t="s">
        <v>187</v>
      </c>
      <c r="C130" s="2">
        <v>123.0</v>
      </c>
      <c r="D130" s="3"/>
      <c r="E130" s="4" t="s">
        <v>188</v>
      </c>
      <c r="F130" s="3" t="str">
        <f>IFERROR(__xludf.DUMMYFUNCTION("GOOGLETRANSLATE(B130,""en"",""ar"")"),"اخر")</f>
        <v>اخر</v>
      </c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4.25" customHeight="1">
      <c r="A131" s="5"/>
      <c r="B131" s="2" t="s">
        <v>189</v>
      </c>
      <c r="C131" s="2">
        <v>122.0</v>
      </c>
      <c r="D131" s="3"/>
      <c r="E131" s="4" t="s">
        <v>80</v>
      </c>
      <c r="F131" s="3" t="str">
        <f>IFERROR(__xludf.DUMMYFUNCTION("GOOGLETRANSLATE(B131,""en"",""ar"")"),"صحة")</f>
        <v>صحة</v>
      </c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4.25" customHeight="1">
      <c r="A132" s="5"/>
      <c r="B132" s="2" t="s">
        <v>190</v>
      </c>
      <c r="C132" s="2">
        <v>120.0</v>
      </c>
      <c r="D132" s="3"/>
      <c r="E132" s="4" t="s">
        <v>56</v>
      </c>
      <c r="F132" s="3" t="str">
        <f>IFERROR(__xludf.DUMMYFUNCTION("GOOGLETRANSLATE(B132,""en"",""ar"")"),"نفس")</f>
        <v>نفس</v>
      </c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4.25" customHeight="1">
      <c r="A133" s="5"/>
      <c r="B133" s="2" t="s">
        <v>191</v>
      </c>
      <c r="C133" s="2">
        <v>118.0</v>
      </c>
      <c r="D133" s="3"/>
      <c r="E133" s="4" t="s">
        <v>120</v>
      </c>
      <c r="F133" s="3" t="str">
        <f>IFERROR(__xludf.DUMMYFUNCTION("GOOGLETRANSLATE(B133,""en"",""ar"")"),"دراسة")</f>
        <v>دراسة</v>
      </c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4.25" customHeight="1">
      <c r="A134" s="5"/>
      <c r="B134" s="2" t="s">
        <v>192</v>
      </c>
      <c r="C134" s="2">
        <v>118.0</v>
      </c>
      <c r="D134" s="3"/>
      <c r="E134" s="4" t="s">
        <v>193</v>
      </c>
      <c r="F134" s="3" t="str">
        <f>IFERROR(__xludf.DUMMYFUNCTION("GOOGLETRANSLATE(B134,""en"",""ar"")"),"لماذا")</f>
        <v>لماذا</v>
      </c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4.25" customHeight="1">
      <c r="A135" s="5"/>
      <c r="B135" s="2" t="s">
        <v>194</v>
      </c>
      <c r="C135" s="2">
        <v>117.0</v>
      </c>
      <c r="D135" s="3"/>
      <c r="E135" s="4" t="s">
        <v>67</v>
      </c>
      <c r="F135" s="3" t="str">
        <f>IFERROR(__xludf.DUMMYFUNCTION("GOOGLETRANSLATE(B135,""en"",""ar"")"),"قليل")</f>
        <v>قليل</v>
      </c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4.25" customHeight="1">
      <c r="A136" s="5"/>
      <c r="B136" s="2" t="s">
        <v>195</v>
      </c>
      <c r="C136" s="2">
        <v>117.0</v>
      </c>
      <c r="D136" s="3"/>
      <c r="E136" s="4" t="s">
        <v>84</v>
      </c>
      <c r="F136" s="3" t="str">
        <f>IFERROR(__xludf.DUMMYFUNCTION("GOOGLETRANSLATE(B136,""en"",""ar"")"),"لعبه")</f>
        <v>لعبه</v>
      </c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4.25" customHeight="1">
      <c r="A137" s="5"/>
      <c r="B137" s="2" t="s">
        <v>196</v>
      </c>
      <c r="C137" s="2">
        <v>116.0</v>
      </c>
      <c r="D137" s="3"/>
      <c r="E137" s="4" t="s">
        <v>35</v>
      </c>
      <c r="F137" s="3" t="str">
        <f>IFERROR(__xludf.DUMMYFUNCTION("GOOGLETRANSLATE(B137,""en"",""ar"")"),"قد")</f>
        <v>قد</v>
      </c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4.25" customHeight="1">
      <c r="A138" s="5"/>
      <c r="B138" s="2" t="s">
        <v>197</v>
      </c>
      <c r="C138" s="2">
        <v>116.0</v>
      </c>
      <c r="D138" s="3"/>
      <c r="E138" s="4" t="s">
        <v>198</v>
      </c>
      <c r="F138" s="3" t="str">
        <f>IFERROR(__xludf.DUMMYFUNCTION("GOOGLETRANSLATE(B138,""en"",""ar"")"),"فكر في")</f>
        <v>فكر في</v>
      </c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4.25" customHeight="1">
      <c r="A139" s="5"/>
      <c r="B139" s="2" t="s">
        <v>199</v>
      </c>
      <c r="C139" s="2">
        <v>115.0</v>
      </c>
      <c r="D139" s="3"/>
      <c r="E139" s="4" t="s">
        <v>200</v>
      </c>
      <c r="F139" s="3" t="str">
        <f>IFERROR(__xludf.DUMMYFUNCTION("GOOGLETRANSLATE(B139,""en"",""ar"")"),"مجانا")</f>
        <v>مجانا</v>
      </c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4.25" customHeight="1">
      <c r="A140" s="5"/>
      <c r="B140" s="2" t="s">
        <v>201</v>
      </c>
      <c r="C140" s="2">
        <v>114.0</v>
      </c>
      <c r="D140" s="3"/>
      <c r="E140" s="4" t="s">
        <v>43</v>
      </c>
      <c r="F140" s="3" t="str">
        <f>IFERROR(__xludf.DUMMYFUNCTION("GOOGLETRANSLATE(B140,""en"",""ar"")"),"جدا")</f>
        <v>جدا</v>
      </c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4.25" customHeight="1">
      <c r="A141" s="5"/>
      <c r="B141" s="2" t="s">
        <v>202</v>
      </c>
      <c r="C141" s="2">
        <v>113.0</v>
      </c>
      <c r="D141" s="3"/>
      <c r="E141" s="4" t="s">
        <v>75</v>
      </c>
      <c r="F141" s="3" t="str">
        <f>IFERROR(__xludf.DUMMYFUNCTION("GOOGLETRANSLATE(B141,""en"",""ar"")"),"كان")</f>
        <v>كان</v>
      </c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4.25" customHeight="1">
      <c r="A142" s="5"/>
      <c r="B142" s="2" t="s">
        <v>203</v>
      </c>
      <c r="C142" s="2">
        <v>113.0</v>
      </c>
      <c r="D142" s="3"/>
      <c r="E142" s="4" t="s">
        <v>204</v>
      </c>
      <c r="F142" s="3" t="str">
        <f>IFERROR(__xludf.DUMMYFUNCTION("GOOGLETRANSLATE(B142,""en"",""ar"")"),"مرحبا")</f>
        <v>مرحبا</v>
      </c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4.25" customHeight="1">
      <c r="A143" s="5"/>
      <c r="B143" s="2" t="s">
        <v>205</v>
      </c>
      <c r="C143" s="2">
        <v>113.0</v>
      </c>
      <c r="D143" s="3"/>
      <c r="E143" s="4" t="s">
        <v>206</v>
      </c>
      <c r="F143" s="3" t="str">
        <f>IFERROR(__xludf.DUMMYFUNCTION("GOOGLETRANSLATE(B143,""en"",""ar"")"),"حقا")</f>
        <v>حقا</v>
      </c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4.25" customHeight="1">
      <c r="A144" s="5"/>
      <c r="B144" s="2" t="s">
        <v>207</v>
      </c>
      <c r="C144" s="2">
        <v>112.0</v>
      </c>
      <c r="D144" s="3"/>
      <c r="E144" s="4" t="s">
        <v>208</v>
      </c>
      <c r="F144" s="3" t="str">
        <f>IFERROR(__xludf.DUMMYFUNCTION("GOOGLETRANSLATE(B144,""en"",""ar"")"),"ساكن")</f>
        <v>ساكن</v>
      </c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4.25" customHeight="1">
      <c r="A145" s="5"/>
      <c r="B145" s="2" t="s">
        <v>209</v>
      </c>
      <c r="C145" s="2">
        <v>111.0</v>
      </c>
      <c r="D145" s="3"/>
      <c r="E145" s="4" t="s">
        <v>80</v>
      </c>
      <c r="F145" s="3" t="str">
        <f>IFERROR(__xludf.DUMMYFUNCTION("GOOGLETRANSLATE(B145,""en"",""ar"")"),"النظام")</f>
        <v>النظام</v>
      </c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4.25" customHeight="1">
      <c r="A146" s="5"/>
      <c r="B146" s="2" t="s">
        <v>210</v>
      </c>
      <c r="C146" s="2">
        <v>110.0</v>
      </c>
      <c r="D146" s="3"/>
      <c r="E146" s="4" t="s">
        <v>211</v>
      </c>
      <c r="F146" s="3" t="str">
        <f>IFERROR(__xludf.DUMMYFUNCTION("GOOGLETRANSLATE(B146,""en"",""ar"")"),"بعد، بعدما")</f>
        <v>بعد، بعدما</v>
      </c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4.25" customHeight="1">
      <c r="A147" s="5"/>
      <c r="B147" s="2" t="s">
        <v>212</v>
      </c>
      <c r="C147" s="2">
        <v>109.0</v>
      </c>
      <c r="D147" s="3"/>
      <c r="E147" s="4" t="s">
        <v>80</v>
      </c>
      <c r="F147" s="3" t="str">
        <f>IFERROR(__xludf.DUMMYFUNCTION("GOOGLETRANSLATE(B147,""en"",""ar"")"),"الحاسوب")</f>
        <v>الحاسوب</v>
      </c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4.25" customHeight="1">
      <c r="A148" s="5"/>
      <c r="B148" s="2" t="s">
        <v>213</v>
      </c>
      <c r="C148" s="2">
        <v>108.0</v>
      </c>
      <c r="D148" s="3"/>
      <c r="E148" s="4" t="s">
        <v>206</v>
      </c>
      <c r="F148" s="3" t="str">
        <f>IFERROR(__xludf.DUMMYFUNCTION("GOOGLETRANSLATE(B148,""en"",""ar"")"),"الأفضل")</f>
        <v>الأفضل</v>
      </c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4.25" customHeight="1">
      <c r="A149" s="5"/>
      <c r="B149" s="2" t="s">
        <v>214</v>
      </c>
      <c r="C149" s="2">
        <v>108.0</v>
      </c>
      <c r="D149" s="3"/>
      <c r="E149" s="4" t="s">
        <v>215</v>
      </c>
      <c r="F149" s="3" t="str">
        <f>IFERROR(__xludf.DUMMYFUNCTION("GOOGLETRANSLATE(B149,""en"",""ar"")"),"يجب")</f>
        <v>يجب</v>
      </c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4.25" customHeight="1">
      <c r="A150" s="5"/>
      <c r="B150" s="2" t="s">
        <v>216</v>
      </c>
      <c r="C150" s="2">
        <v>107.0</v>
      </c>
      <c r="D150" s="3"/>
      <c r="E150" s="4" t="s">
        <v>31</v>
      </c>
      <c r="F150" s="3" t="str">
        <f>IFERROR(__xludf.DUMMYFUNCTION("GOOGLETRANSLATE(B150,""en"",""ar"")"),"لها")</f>
        <v>لها</v>
      </c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4.25" customHeight="1">
      <c r="A151" s="5"/>
      <c r="B151" s="2" t="s">
        <v>217</v>
      </c>
      <c r="C151" s="2">
        <v>107.0</v>
      </c>
      <c r="D151" s="3"/>
      <c r="E151" s="4" t="s">
        <v>149</v>
      </c>
      <c r="F151" s="3" t="str">
        <f>IFERROR(__xludf.DUMMYFUNCTION("GOOGLETRANSLATE(B151,""en"",""ar"")"),"الحياة")</f>
        <v>الحياة</v>
      </c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4.25" customHeight="1">
      <c r="A152" s="5"/>
      <c r="B152" s="7" t="s">
        <v>218</v>
      </c>
      <c r="C152" s="2">
        <v>107.0</v>
      </c>
      <c r="D152" s="3"/>
      <c r="E152" s="4" t="s">
        <v>174</v>
      </c>
      <c r="F152" s="3" t="str">
        <f>IFERROR(__xludf.DUMMYFUNCTION("GOOGLETRANSLATE(B152,""en"",""ar"")"),"حيث")</f>
        <v>حيث</v>
      </c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4.25" customHeight="1">
      <c r="A153" s="5"/>
      <c r="B153" s="2" t="s">
        <v>219</v>
      </c>
      <c r="C153" s="2">
        <v>105.0</v>
      </c>
      <c r="D153" s="3"/>
      <c r="E153" s="4" t="s">
        <v>75</v>
      </c>
      <c r="F153" s="3" t="str">
        <f>IFERROR(__xludf.DUMMYFUNCTION("GOOGLETRANSLATE(B153,""en"",""ar"")"),"استطاع")</f>
        <v>استطاع</v>
      </c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4.25" customHeight="1">
      <c r="A154" s="5"/>
      <c r="B154" s="2" t="s">
        <v>220</v>
      </c>
      <c r="C154" s="2">
        <v>104.0</v>
      </c>
      <c r="D154" s="3"/>
      <c r="E154" s="4" t="s">
        <v>13</v>
      </c>
      <c r="F154" s="3" t="str">
        <f>IFERROR(__xludf.DUMMYFUNCTION("GOOGLETRANSLATE(B154,""en"",""ar"")"),"يفعل")</f>
        <v>يفعل</v>
      </c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4.25" customHeight="1">
      <c r="A155" s="5"/>
      <c r="B155" s="2" t="s">
        <v>221</v>
      </c>
      <c r="C155" s="2">
        <v>104.0</v>
      </c>
      <c r="D155" s="3"/>
      <c r="E155" s="4" t="s">
        <v>222</v>
      </c>
      <c r="F155" s="3" t="str">
        <f>IFERROR(__xludf.DUMMYFUNCTION("GOOGLETRANSLATE(B155,""en"",""ar"")"),"حاليا")</f>
        <v>حاليا</v>
      </c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4.25" customHeight="1">
      <c r="A156" s="5"/>
      <c r="B156" s="2" t="s">
        <v>223</v>
      </c>
      <c r="C156" s="2">
        <v>103.0</v>
      </c>
      <c r="D156" s="3"/>
      <c r="E156" s="4" t="s">
        <v>33</v>
      </c>
      <c r="F156" s="3" t="str">
        <f>IFERROR(__xludf.DUMMYFUNCTION("GOOGLETRANSLATE(B156,""en"",""ar"")"),"أثناء")</f>
        <v>أثناء</v>
      </c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4.25" customHeight="1">
      <c r="A157" s="5"/>
      <c r="B157" s="2" t="s">
        <v>224</v>
      </c>
      <c r="C157" s="2">
        <v>102.0</v>
      </c>
      <c r="D157" s="3"/>
      <c r="E157" s="4" t="s">
        <v>13</v>
      </c>
      <c r="F157" s="3" t="str">
        <f>IFERROR(__xludf.DUMMYFUNCTION("GOOGLETRANSLATE(B157,""en"",""ar"")"),"يتعلم")</f>
        <v>يتعلم</v>
      </c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4.25" customHeight="1">
      <c r="A158" s="5"/>
      <c r="B158" s="2" t="s">
        <v>225</v>
      </c>
      <c r="C158" s="2">
        <v>101.0</v>
      </c>
      <c r="D158" s="3"/>
      <c r="E158" s="4" t="s">
        <v>226</v>
      </c>
      <c r="F158" s="3" t="str">
        <f>IFERROR(__xludf.DUMMYFUNCTION("GOOGLETRANSLATE(B158,""en"",""ar"")"),"حول")</f>
        <v>حول</v>
      </c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4.25" customHeight="1">
      <c r="A159" s="5"/>
      <c r="B159" s="2" t="s">
        <v>227</v>
      </c>
      <c r="C159" s="2">
        <v>101.0</v>
      </c>
      <c r="D159" s="3"/>
      <c r="E159" s="4" t="s">
        <v>43</v>
      </c>
      <c r="F159" s="3" t="str">
        <f>IFERROR(__xludf.DUMMYFUNCTION("GOOGLETRANSLATE(B159,""en"",""ar"")"),"عادة")</f>
        <v>عادة</v>
      </c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4.25" customHeight="1">
      <c r="A160" s="5"/>
      <c r="B160" s="2" t="s">
        <v>228</v>
      </c>
      <c r="C160" s="2">
        <v>99.0</v>
      </c>
      <c r="D160" s="3"/>
      <c r="E160" s="4" t="s">
        <v>120</v>
      </c>
      <c r="F160" s="3" t="str">
        <f>IFERROR(__xludf.DUMMYFUNCTION("GOOGLETRANSLATE(B160,""en"",""ar"")"),"شكل")</f>
        <v>شكل</v>
      </c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4.25" customHeight="1">
      <c r="A161" s="5"/>
      <c r="B161" s="2" t="s">
        <v>229</v>
      </c>
      <c r="C161" s="2">
        <v>99.0</v>
      </c>
      <c r="D161" s="3"/>
      <c r="E161" s="4" t="s">
        <v>80</v>
      </c>
      <c r="F161" s="3" t="str">
        <f>IFERROR(__xludf.DUMMYFUNCTION("GOOGLETRANSLATE(B161,""en"",""ar"")"),"لحم")</f>
        <v>لحم</v>
      </c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4.25" customHeight="1">
      <c r="A162" s="5"/>
      <c r="B162" s="2" t="s">
        <v>230</v>
      </c>
      <c r="C162" s="2">
        <v>98.0</v>
      </c>
      <c r="D162" s="3"/>
      <c r="E162" s="4" t="s">
        <v>120</v>
      </c>
      <c r="F162" s="3" t="str">
        <f>IFERROR(__xludf.DUMMYFUNCTION("GOOGLETRANSLATE(B162,""en"",""ar"")"),"هواء")</f>
        <v>هواء</v>
      </c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4.25" customHeight="1">
      <c r="A163" s="5"/>
      <c r="B163" s="2" t="s">
        <v>231</v>
      </c>
      <c r="C163" s="2">
        <v>98.0</v>
      </c>
      <c r="D163" s="3"/>
      <c r="E163" s="4" t="s">
        <v>149</v>
      </c>
      <c r="F163" s="3" t="str">
        <f>IFERROR(__xludf.DUMMYFUNCTION("GOOGLETRANSLATE(B163,""en"",""ar"")"),"يوم")</f>
        <v>يوم</v>
      </c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4.25" customHeight="1">
      <c r="A164" s="5"/>
      <c r="B164" s="2" t="s">
        <v>232</v>
      </c>
      <c r="C164" s="2">
        <v>98.0</v>
      </c>
      <c r="D164" s="3"/>
      <c r="E164" s="4" t="s">
        <v>120</v>
      </c>
      <c r="F164" s="3" t="str">
        <f>IFERROR(__xludf.DUMMYFUNCTION("GOOGLETRANSLATE(B164,""en"",""ar"")"),"مكان")</f>
        <v>مكان</v>
      </c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4.25" customHeight="1">
      <c r="A165" s="5"/>
      <c r="B165" s="2" t="s">
        <v>233</v>
      </c>
      <c r="C165" s="2">
        <v>97.0</v>
      </c>
      <c r="D165" s="3"/>
      <c r="E165" s="4" t="s">
        <v>13</v>
      </c>
      <c r="F165" s="3" t="str">
        <f>IFERROR(__xludf.DUMMYFUNCTION("GOOGLETRANSLATE(B165,""en"",""ar"")"),"أصبح")</f>
        <v>أصبح</v>
      </c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4.25" customHeight="1">
      <c r="A166" s="5"/>
      <c r="B166" s="2" t="s">
        <v>234</v>
      </c>
      <c r="C166" s="2">
        <v>97.0</v>
      </c>
      <c r="D166" s="3"/>
      <c r="E166" s="4" t="s">
        <v>120</v>
      </c>
      <c r="F166" s="3" t="str">
        <f>IFERROR(__xludf.DUMMYFUNCTION("GOOGLETRANSLATE(B166,""en"",""ar"")"),"رقم")</f>
        <v>رقم</v>
      </c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4.25" customHeight="1">
      <c r="A167" s="5"/>
      <c r="B167" s="2" t="s">
        <v>235</v>
      </c>
      <c r="C167" s="2">
        <v>97.0</v>
      </c>
      <c r="D167" s="3"/>
      <c r="E167" s="4" t="s">
        <v>236</v>
      </c>
      <c r="F167" s="3" t="str">
        <f>IFERROR(__xludf.DUMMYFUNCTION("GOOGLETRANSLATE(B167,""en"",""ar"")"),"عام")</f>
        <v>عام</v>
      </c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4.25" customHeight="1">
      <c r="A168" s="5"/>
      <c r="B168" s="2" t="s">
        <v>237</v>
      </c>
      <c r="C168" s="2">
        <v>97.0</v>
      </c>
      <c r="D168" s="3"/>
      <c r="E168" s="4" t="s">
        <v>95</v>
      </c>
      <c r="F168" s="3" t="str">
        <f>IFERROR(__xludf.DUMMYFUNCTION("GOOGLETRANSLATE(B168,""en"",""ar"")"),"قرأ")</f>
        <v>قرأ</v>
      </c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4.25" customHeight="1">
      <c r="A169" s="5"/>
      <c r="B169" s="2" t="s">
        <v>238</v>
      </c>
      <c r="C169" s="2">
        <v>96.0</v>
      </c>
      <c r="D169" s="3"/>
      <c r="E169" s="4" t="s">
        <v>95</v>
      </c>
      <c r="F169" s="3" t="str">
        <f>IFERROR(__xludf.DUMMYFUNCTION("GOOGLETRANSLATE(B169,""en"",""ar"")"),"احتفظ")</f>
        <v>احتفظ</v>
      </c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4.25" customHeight="1">
      <c r="A170" s="5"/>
      <c r="B170" s="2" t="s">
        <v>239</v>
      </c>
      <c r="C170" s="2">
        <v>96.0</v>
      </c>
      <c r="D170" s="3"/>
      <c r="E170" s="4" t="s">
        <v>240</v>
      </c>
      <c r="F170" s="3" t="str">
        <f>IFERROR(__xludf.DUMMYFUNCTION("GOOGLETRANSLATE(B170,""en"",""ar"")"),"جزء")</f>
        <v>جزء</v>
      </c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4.25" customHeight="1">
      <c r="A171" s="5"/>
      <c r="B171" s="2" t="s">
        <v>241</v>
      </c>
      <c r="C171" s="2">
        <v>96.0</v>
      </c>
      <c r="D171" s="3"/>
      <c r="E171" s="4" t="s">
        <v>95</v>
      </c>
      <c r="F171" s="3" t="str">
        <f>IFERROR(__xludf.DUMMYFUNCTION("GOOGLETRANSLATE(B171,""en"",""ar"")"),"بداية")</f>
        <v>بداية</v>
      </c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4.25" customHeight="1">
      <c r="A172" s="5"/>
      <c r="B172" s="2" t="s">
        <v>242</v>
      </c>
      <c r="C172" s="2">
        <v>96.0</v>
      </c>
      <c r="D172" s="3"/>
      <c r="E172" s="4" t="s">
        <v>80</v>
      </c>
      <c r="F172" s="3" t="str">
        <f>IFERROR(__xludf.DUMMYFUNCTION("GOOGLETRANSLATE(B172,""en"",""ar"")"),"عام")</f>
        <v>عام</v>
      </c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4.25" customHeight="1">
      <c r="A173" s="5"/>
      <c r="B173" s="2" t="s">
        <v>243</v>
      </c>
      <c r="C173" s="2">
        <v>95.0</v>
      </c>
      <c r="D173" s="3"/>
      <c r="E173" s="4" t="s">
        <v>113</v>
      </c>
      <c r="F173" s="3" t="str">
        <f>IFERROR(__xludf.DUMMYFUNCTION("GOOGLETRANSLATE(B173,""en"",""ar"")"),"كل")</f>
        <v>كل</v>
      </c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4.25" customHeight="1">
      <c r="A174" s="5"/>
      <c r="B174" s="2" t="s">
        <v>244</v>
      </c>
      <c r="C174" s="2">
        <v>95.0</v>
      </c>
      <c r="D174" s="3"/>
      <c r="E174" s="4" t="s">
        <v>129</v>
      </c>
      <c r="F174" s="3" t="str">
        <f>IFERROR(__xludf.DUMMYFUNCTION("GOOGLETRANSLATE(B174,""en"",""ar"")"),"مجال")</f>
        <v>مجال</v>
      </c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4.25" customHeight="1">
      <c r="A175" s="5"/>
      <c r="B175" s="2" t="s">
        <v>245</v>
      </c>
      <c r="C175" s="2">
        <v>95.0</v>
      </c>
      <c r="D175" s="3"/>
      <c r="E175" s="4" t="s">
        <v>113</v>
      </c>
      <c r="F175" s="3" t="str">
        <f>IFERROR(__xludf.DUMMYFUNCTION("GOOGLETRANSLATE(B175,""en"",""ar"")"),"كبير")</f>
        <v>كبير</v>
      </c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4.25" customHeight="1">
      <c r="A176" s="5"/>
      <c r="B176" s="2" t="s">
        <v>246</v>
      </c>
      <c r="C176" s="2">
        <v>95.0</v>
      </c>
      <c r="D176" s="3"/>
      <c r="E176" s="4" t="s">
        <v>65</v>
      </c>
      <c r="F176" s="3" t="str">
        <f>IFERROR(__xludf.DUMMYFUNCTION("GOOGLETRANSLATE(B176,""en"",""ar"")"),"ذات مرة")</f>
        <v>ذات مرة</v>
      </c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4.25" customHeight="1">
      <c r="A177" s="5"/>
      <c r="B177" s="2" t="s">
        <v>247</v>
      </c>
      <c r="C177" s="2">
        <v>94.0</v>
      </c>
      <c r="D177" s="3"/>
      <c r="E177" s="4" t="s">
        <v>113</v>
      </c>
      <c r="F177" s="3" t="str">
        <f>IFERROR(__xludf.DUMMYFUNCTION("GOOGLETRANSLATE(B177,""en"",""ar"")"),"متوفرة")</f>
        <v>متوفرة</v>
      </c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4.25" customHeight="1">
      <c r="A178" s="5"/>
      <c r="B178" s="2" t="s">
        <v>248</v>
      </c>
      <c r="C178" s="2">
        <v>94.0</v>
      </c>
      <c r="D178" s="3"/>
      <c r="E178" s="4" t="s">
        <v>249</v>
      </c>
      <c r="F178" s="3" t="str">
        <f>IFERROR(__xludf.DUMMYFUNCTION("GOOGLETRANSLATE(B178,""en"",""ar"")"),"أسفل")</f>
        <v>أسفل</v>
      </c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4.25" customHeight="1">
      <c r="A179" s="5"/>
      <c r="B179" s="2" t="s">
        <v>250</v>
      </c>
      <c r="C179" s="2">
        <v>93.0</v>
      </c>
      <c r="D179" s="3"/>
      <c r="E179" s="4" t="s">
        <v>95</v>
      </c>
      <c r="F179" s="3" t="str">
        <f>IFERROR(__xludf.DUMMYFUNCTION("GOOGLETRANSLATE(B179,""en"",""ar"")"),"يعطى")</f>
        <v>يعطى</v>
      </c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4.25" customHeight="1">
      <c r="A180" s="5"/>
      <c r="B180" s="2" t="s">
        <v>251</v>
      </c>
      <c r="C180" s="2">
        <v>92.0</v>
      </c>
      <c r="D180" s="3"/>
      <c r="E180" s="4" t="s">
        <v>120</v>
      </c>
      <c r="F180" s="3" t="str">
        <f>IFERROR(__xludf.DUMMYFUNCTION("GOOGLETRANSLATE(B180,""en"",""ar"")"),"سمك")</f>
        <v>سمك</v>
      </c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4.25" customHeight="1">
      <c r="A181" s="5"/>
      <c r="B181" s="2" t="s">
        <v>252</v>
      </c>
      <c r="C181" s="2">
        <v>92.0</v>
      </c>
      <c r="D181" s="3"/>
      <c r="E181" s="4" t="s">
        <v>236</v>
      </c>
      <c r="F181" s="3" t="str">
        <f>IFERROR(__xludf.DUMMYFUNCTION("GOOGLETRANSLATE(B181,""en"",""ar"")"),"بشري")</f>
        <v>بشري</v>
      </c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4.25" customHeight="1">
      <c r="A182" s="5"/>
      <c r="B182" s="2" t="s">
        <v>253</v>
      </c>
      <c r="C182" s="2">
        <v>91.0</v>
      </c>
      <c r="D182" s="3"/>
      <c r="E182" s="4" t="s">
        <v>51</v>
      </c>
      <c r="F182" s="3" t="str">
        <f>IFERROR(__xludf.DUMMYFUNCTION("GOOGLETRANSLATE(B182,""en"",""ar"")"),"على حد سواء")</f>
        <v>على حد سواء</v>
      </c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4.25" customHeight="1">
      <c r="A183" s="5"/>
      <c r="B183" s="2" t="s">
        <v>254</v>
      </c>
      <c r="C183" s="2">
        <v>90.0</v>
      </c>
      <c r="D183" s="3"/>
      <c r="E183" s="4" t="s">
        <v>236</v>
      </c>
      <c r="F183" s="3" t="str">
        <f>IFERROR(__xludf.DUMMYFUNCTION("GOOGLETRANSLATE(B183,""en"",""ar"")"),"محلي")</f>
        <v>محلي</v>
      </c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4.25" customHeight="1">
      <c r="A184" s="5"/>
      <c r="B184" s="2" t="s">
        <v>255</v>
      </c>
      <c r="C184" s="2">
        <v>90.0</v>
      </c>
      <c r="D184" s="3"/>
      <c r="E184" s="4" t="s">
        <v>51</v>
      </c>
      <c r="F184" s="3" t="str">
        <f>IFERROR(__xludf.DUMMYFUNCTION("GOOGLETRANSLATE(B184,""en"",""ar"")"),"بالتأكيد")</f>
        <v>بالتأكيد</v>
      </c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4.25" customHeight="1">
      <c r="A185" s="5"/>
      <c r="B185" s="2" t="s">
        <v>256</v>
      </c>
      <c r="C185" s="2">
        <v>89.0</v>
      </c>
      <c r="D185" s="3"/>
      <c r="E185" s="4" t="s">
        <v>31</v>
      </c>
      <c r="F185" s="3" t="str">
        <f>IFERROR(__xludf.DUMMYFUNCTION("GOOGLETRANSLATE(B185,""en"",""ar"")"),"شيئا ما")</f>
        <v>شيئا ما</v>
      </c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4.25" customHeight="1">
      <c r="A186" s="5"/>
      <c r="B186" s="2" t="s">
        <v>257</v>
      </c>
      <c r="C186" s="2">
        <v>89.0</v>
      </c>
      <c r="D186" s="3"/>
      <c r="E186" s="4" t="s">
        <v>174</v>
      </c>
      <c r="F186" s="3" t="str">
        <f>IFERROR(__xludf.DUMMYFUNCTION("GOOGLETRANSLATE(B186,""en"",""ar"")"),"بدون")</f>
        <v>بدون</v>
      </c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4.25" customHeight="1">
      <c r="A187" s="5"/>
      <c r="B187" s="2" t="s">
        <v>258</v>
      </c>
      <c r="C187" s="2">
        <v>88.0</v>
      </c>
      <c r="D187" s="3"/>
      <c r="E187" s="4" t="s">
        <v>13</v>
      </c>
      <c r="F187" s="3" t="str">
        <f>IFERROR(__xludf.DUMMYFUNCTION("GOOGLETRANSLATE(B187,""en"",""ar"")"),"يأتي")</f>
        <v>يأتي</v>
      </c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4.25" customHeight="1">
      <c r="A188" s="5"/>
      <c r="B188" s="2" t="s">
        <v>259</v>
      </c>
      <c r="C188" s="2">
        <v>88.0</v>
      </c>
      <c r="D188" s="3"/>
      <c r="E188" s="4" t="s">
        <v>31</v>
      </c>
      <c r="F188" s="3" t="str">
        <f>IFERROR(__xludf.DUMMYFUNCTION("GOOGLETRANSLATE(B188,""en"",""ar"")"),"أنا")</f>
        <v>أنا</v>
      </c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4.25" customHeight="1">
      <c r="A189" s="5"/>
      <c r="B189" s="2" t="s">
        <v>260</v>
      </c>
      <c r="C189" s="2">
        <v>86.0</v>
      </c>
      <c r="D189" s="3"/>
      <c r="E189" s="4" t="s">
        <v>261</v>
      </c>
      <c r="F189" s="3" t="str">
        <f>IFERROR(__xludf.DUMMYFUNCTION("GOOGLETRANSLATE(B189,""en"",""ar"")"),"الى الخلف")</f>
        <v>الى الخلف</v>
      </c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4.25" customHeight="1">
      <c r="A190" s="5"/>
      <c r="B190" s="2" t="s">
        <v>262</v>
      </c>
      <c r="C190" s="2">
        <v>86.0</v>
      </c>
      <c r="D190" s="3"/>
      <c r="E190" s="4" t="s">
        <v>206</v>
      </c>
      <c r="F190" s="3" t="str">
        <f>IFERROR(__xludf.DUMMYFUNCTION("GOOGLETRANSLATE(B190,""en"",""ar"")"),"أفضل")</f>
        <v>أفضل</v>
      </c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4.25" customHeight="1">
      <c r="A191" s="5"/>
      <c r="B191" s="2" t="s">
        <v>263</v>
      </c>
      <c r="C191" s="2">
        <v>85.0</v>
      </c>
      <c r="D191" s="3"/>
      <c r="E191" s="4" t="s">
        <v>236</v>
      </c>
      <c r="F191" s="3" t="str">
        <f>IFERROR(__xludf.DUMMYFUNCTION("GOOGLETRANSLATE(B191,""en"",""ar"")"),"جنرال لواء")</f>
        <v>جنرال لواء</v>
      </c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4.25" customHeight="1">
      <c r="A192" s="5"/>
      <c r="B192" s="2" t="s">
        <v>264</v>
      </c>
      <c r="C192" s="2">
        <v>85.0</v>
      </c>
      <c r="D192" s="3"/>
      <c r="E192" s="4" t="s">
        <v>120</v>
      </c>
      <c r="F192" s="3" t="str">
        <f>IFERROR(__xludf.DUMMYFUNCTION("GOOGLETRANSLATE(B192,""en"",""ar"")"),"معالجة")</f>
        <v>معالجة</v>
      </c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4.25" customHeight="1">
      <c r="A193" s="5"/>
      <c r="B193" s="2" t="s">
        <v>265</v>
      </c>
      <c r="C193" s="2">
        <v>85.0</v>
      </c>
      <c r="D193" s="3"/>
      <c r="E193" s="4" t="s">
        <v>15</v>
      </c>
      <c r="F193" s="3" t="str">
        <f>IFERROR(__xludf.DUMMYFUNCTION("GOOGLETRANSLATE(B193,""en"",""ar"")"),"هي")</f>
        <v>هي</v>
      </c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4.25" customHeight="1">
      <c r="A194" s="5"/>
      <c r="B194" s="2" t="s">
        <v>266</v>
      </c>
      <c r="C194" s="2">
        <v>84.0</v>
      </c>
      <c r="D194" s="3"/>
      <c r="E194" s="4" t="s">
        <v>120</v>
      </c>
      <c r="F194" s="3" t="str">
        <f>IFERROR(__xludf.DUMMYFUNCTION("GOOGLETRANSLATE(B194,""en"",""ar"")"),"الحرارة")</f>
        <v>الحرارة</v>
      </c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4.25" customHeight="1">
      <c r="A195" s="5"/>
      <c r="B195" s="2" t="s">
        <v>267</v>
      </c>
      <c r="C195" s="2">
        <v>84.0</v>
      </c>
      <c r="D195" s="3"/>
      <c r="E195" s="4" t="s">
        <v>80</v>
      </c>
      <c r="F195" s="3" t="str">
        <f>IFERROR(__xludf.DUMMYFUNCTION("GOOGLETRANSLATE(B195,""en"",""ar"")"),"شكرًا")</f>
        <v>شكرًا</v>
      </c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4.25" customHeight="1">
      <c r="A196" s="5"/>
      <c r="B196" s="2" t="s">
        <v>268</v>
      </c>
      <c r="C196" s="2">
        <v>83.0</v>
      </c>
      <c r="D196" s="3"/>
      <c r="E196" s="4" t="s">
        <v>236</v>
      </c>
      <c r="F196" s="3" t="str">
        <f>IFERROR(__xludf.DUMMYFUNCTION("GOOGLETRANSLATE(B196,""en"",""ar"")"),"محدد")</f>
        <v>محدد</v>
      </c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4.25" customHeight="1">
      <c r="A197" s="5"/>
      <c r="B197" s="2" t="s">
        <v>269</v>
      </c>
      <c r="C197" s="2">
        <v>82.0</v>
      </c>
      <c r="D197" s="3"/>
      <c r="E197" s="4" t="s">
        <v>270</v>
      </c>
      <c r="F197" s="3" t="str">
        <f>IFERROR(__xludf.DUMMYFUNCTION("GOOGLETRANSLATE(B197,""en"",""ar"")"),"كافي")</f>
        <v>كافي</v>
      </c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4.25" customHeight="1">
      <c r="A198" s="5"/>
      <c r="B198" s="2" t="s">
        <v>271</v>
      </c>
      <c r="C198" s="2">
        <v>82.0</v>
      </c>
      <c r="D198" s="3"/>
      <c r="E198" s="4" t="s">
        <v>208</v>
      </c>
      <c r="F198" s="3" t="str">
        <f>IFERROR(__xludf.DUMMYFUNCTION("GOOGLETRANSLATE(B198,""en"",""ar"")"),"طويل")</f>
        <v>طويل</v>
      </c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4.25" customHeight="1">
      <c r="A199" s="5"/>
      <c r="B199" s="2" t="s">
        <v>272</v>
      </c>
      <c r="C199" s="2">
        <v>82.0</v>
      </c>
      <c r="D199" s="3"/>
      <c r="E199" s="4" t="s">
        <v>273</v>
      </c>
      <c r="F199" s="3" t="str">
        <f>IFERROR(__xludf.DUMMYFUNCTION("GOOGLETRANSLATE(B199,""en"",""ar"")"),"كثير")</f>
        <v>كثير</v>
      </c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4.25" customHeight="1">
      <c r="A200" s="5"/>
      <c r="B200" s="2" t="s">
        <v>274</v>
      </c>
      <c r="C200" s="2">
        <v>81.0</v>
      </c>
      <c r="D200" s="3"/>
      <c r="E200" s="4" t="s">
        <v>120</v>
      </c>
      <c r="F200" s="3" t="str">
        <f>IFERROR(__xludf.DUMMYFUNCTION("GOOGLETRANSLATE(B200,""en"",""ar"")"),"كف")</f>
        <v>كف</v>
      </c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4.25" customHeight="1">
      <c r="A201" s="5"/>
      <c r="B201" s="2" t="s">
        <v>275</v>
      </c>
      <c r="C201" s="2">
        <v>81.0</v>
      </c>
      <c r="D201" s="3"/>
      <c r="E201" s="4" t="s">
        <v>113</v>
      </c>
      <c r="F201" s="3" t="str">
        <f>IFERROR(__xludf.DUMMYFUNCTION("GOOGLETRANSLATE(B201,""en"",""ar"")"),"جمع")</f>
        <v>جمع</v>
      </c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4.25" customHeight="1">
      <c r="A202" s="5"/>
      <c r="B202" s="2" t="s">
        <v>276</v>
      </c>
      <c r="C202" s="2">
        <v>81.0</v>
      </c>
      <c r="D202" s="3"/>
      <c r="E202" s="4" t="s">
        <v>51</v>
      </c>
      <c r="F202" s="3" t="str">
        <f>IFERROR(__xludf.DUMMYFUNCTION("GOOGLETRANSLATE(B202,""en"",""ar"")"),"صغير")</f>
        <v>صغير</v>
      </c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4.25" customHeight="1">
      <c r="A203" s="5"/>
      <c r="B203" s="2" t="s">
        <v>277</v>
      </c>
      <c r="C203" s="2">
        <v>81.0</v>
      </c>
      <c r="D203" s="3"/>
      <c r="E203" s="4" t="s">
        <v>278</v>
      </c>
      <c r="F203" s="3" t="str">
        <f>IFERROR(__xludf.DUMMYFUNCTION("GOOGLETRANSLATE(B203,""en"",""ar"")"),"على أية حال")</f>
        <v>على أية حال</v>
      </c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4.25" customHeight="1">
      <c r="A204" s="5"/>
      <c r="B204" s="2" t="s">
        <v>279</v>
      </c>
      <c r="C204" s="2">
        <v>80.0</v>
      </c>
      <c r="D204" s="3"/>
      <c r="E204" s="4" t="s">
        <v>120</v>
      </c>
      <c r="F204" s="3" t="str">
        <f>IFERROR(__xludf.DUMMYFUNCTION("GOOGLETRANSLATE(B204,""en"",""ar"")"),"خبرة")</f>
        <v>خبرة</v>
      </c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4.25" customHeight="1">
      <c r="A205" s="5"/>
      <c r="B205" s="2" t="s">
        <v>280</v>
      </c>
      <c r="C205" s="2">
        <v>80.0</v>
      </c>
      <c r="D205" s="3"/>
      <c r="E205" s="4" t="s">
        <v>13</v>
      </c>
      <c r="F205" s="3" t="str">
        <f>IFERROR(__xludf.DUMMYFUNCTION("GOOGLETRANSLATE(B205,""en"",""ar"")"),"تضمن")</f>
        <v>تضمن</v>
      </c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4.25" customHeight="1">
      <c r="A206" s="5"/>
      <c r="B206" s="2" t="s">
        <v>281</v>
      </c>
      <c r="C206" s="2">
        <v>80.0</v>
      </c>
      <c r="D206" s="3"/>
      <c r="E206" s="4" t="s">
        <v>120</v>
      </c>
      <c r="F206" s="3" t="str">
        <f>IFERROR(__xludf.DUMMYFUNCTION("GOOGLETRANSLATE(B206,""en"",""ar"")"),"مهنة")</f>
        <v>مهنة</v>
      </c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4.25" customHeight="1">
      <c r="A207" s="5"/>
      <c r="B207" s="2" t="s">
        <v>282</v>
      </c>
      <c r="C207" s="2">
        <v>80.0</v>
      </c>
      <c r="D207" s="3"/>
      <c r="E207" s="4" t="s">
        <v>80</v>
      </c>
      <c r="F207" s="3" t="str">
        <f>IFERROR(__xludf.DUMMYFUNCTION("GOOGLETRANSLATE(B207,""en"",""ar"")"),"موسيقى")</f>
        <v>موسيقى</v>
      </c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4.25" customHeight="1">
      <c r="A208" s="5"/>
      <c r="B208" s="2" t="s">
        <v>283</v>
      </c>
      <c r="C208" s="2">
        <v>80.0</v>
      </c>
      <c r="D208" s="3"/>
      <c r="E208" s="4" t="s">
        <v>80</v>
      </c>
      <c r="F208" s="3" t="str">
        <f>IFERROR(__xludf.DUMMYFUNCTION("GOOGLETRANSLATE(B208,""en"",""ar"")"),"شخص")</f>
        <v>شخص</v>
      </c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4.25" customHeight="1">
      <c r="A209" s="5"/>
      <c r="B209" s="2" t="s">
        <v>284</v>
      </c>
      <c r="C209" s="2">
        <v>79.0</v>
      </c>
      <c r="D209" s="3"/>
      <c r="E209" s="4" t="s">
        <v>43</v>
      </c>
      <c r="F209" s="3" t="str">
        <f>IFERROR(__xludf.DUMMYFUNCTION("GOOGLETRANSLATE(B209,""en"",""ar"")"),"حقًا")</f>
        <v>حقًا</v>
      </c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4.25" customHeight="1">
      <c r="A210" s="5"/>
      <c r="B210" s="2" t="s">
        <v>285</v>
      </c>
      <c r="C210" s="2">
        <v>78.0</v>
      </c>
      <c r="D210" s="3"/>
      <c r="E210" s="4" t="s">
        <v>6</v>
      </c>
      <c r="F210" s="3" t="str">
        <f>IFERROR(__xludf.DUMMYFUNCTION("GOOGLETRANSLATE(B210,""en"",""ar"")"),"رغم")</f>
        <v>رغم</v>
      </c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4.25" customHeight="1">
      <c r="A211" s="5"/>
      <c r="B211" s="2" t="s">
        <v>286</v>
      </c>
      <c r="C211" s="2">
        <v>78.0</v>
      </c>
      <c r="D211" s="3"/>
      <c r="E211" s="4" t="s">
        <v>13</v>
      </c>
      <c r="F211" s="3" t="str">
        <f>IFERROR(__xludf.DUMMYFUNCTION("GOOGLETRANSLATE(B211,""en"",""ar"")"),"شكر")</f>
        <v>شكر</v>
      </c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4.25" customHeight="1">
      <c r="A212" s="5"/>
      <c r="B212" s="2" t="s">
        <v>287</v>
      </c>
      <c r="C212" s="2">
        <v>77.0</v>
      </c>
      <c r="D212" s="3"/>
      <c r="E212" s="4" t="s">
        <v>120</v>
      </c>
      <c r="F212" s="3" t="str">
        <f>IFERROR(__xludf.DUMMYFUNCTION("GOOGLETRANSLATE(B212,""en"",""ar"")"),"الكتاب")</f>
        <v>الكتاب</v>
      </c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4.25" customHeight="1">
      <c r="A213" s="5"/>
      <c r="B213" s="2" t="s">
        <v>288</v>
      </c>
      <c r="C213" s="2">
        <v>77.0</v>
      </c>
      <c r="D213" s="3"/>
      <c r="E213" s="4" t="s">
        <v>43</v>
      </c>
      <c r="F213" s="3" t="str">
        <f>IFERROR(__xludf.DUMMYFUNCTION("GOOGLETRANSLATE(B213,""en"",""ar"")"),"مبكر")</f>
        <v>مبكر</v>
      </c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4.25" customHeight="1">
      <c r="A214" s="5"/>
      <c r="B214" s="2" t="s">
        <v>289</v>
      </c>
      <c r="C214" s="2">
        <v>77.0</v>
      </c>
      <c r="D214" s="3"/>
      <c r="E214" s="4" t="s">
        <v>80</v>
      </c>
      <c r="F214" s="3" t="str">
        <f>IFERROR(__xludf.DUMMYFUNCTION("GOOGLETRANSLATE(B214,""en"",""ar"")"),"قراءة")</f>
        <v>قراءة</v>
      </c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4.25" customHeight="1">
      <c r="A215" s="5"/>
      <c r="B215" s="2" t="s">
        <v>290</v>
      </c>
      <c r="C215" s="2">
        <v>76.0</v>
      </c>
      <c r="D215" s="3"/>
      <c r="E215" s="4" t="s">
        <v>120</v>
      </c>
      <c r="F215" s="3" t="str">
        <f>IFERROR(__xludf.DUMMYFUNCTION("GOOGLETRANSLATE(B215,""en"",""ar"")"),"نهاية")</f>
        <v>نهاية</v>
      </c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4.25" customHeight="1">
      <c r="A216" s="5"/>
      <c r="B216" s="2" t="s">
        <v>291</v>
      </c>
      <c r="C216" s="2">
        <v>76.0</v>
      </c>
      <c r="D216" s="3"/>
      <c r="E216" s="4" t="s">
        <v>80</v>
      </c>
      <c r="F216" s="3" t="str">
        <f>IFERROR(__xludf.DUMMYFUNCTION("GOOGLETRANSLATE(B216,""en"",""ar"")"),"طريقة")</f>
        <v>طريقة</v>
      </c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4.25" customHeight="1">
      <c r="A217" s="5"/>
      <c r="B217" s="2" t="s">
        <v>292</v>
      </c>
      <c r="C217" s="2">
        <v>76.0</v>
      </c>
      <c r="D217" s="3"/>
      <c r="E217" s="4" t="s">
        <v>43</v>
      </c>
      <c r="F217" s="3" t="str">
        <f>IFERROR(__xludf.DUMMYFUNCTION("GOOGLETRANSLATE(B217,""en"",""ar"")"),"أبداً")</f>
        <v>أبداً</v>
      </c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4.25" customHeight="1">
      <c r="A218" s="5"/>
      <c r="B218" s="2" t="s">
        <v>293</v>
      </c>
      <c r="C218" s="2">
        <v>75.0</v>
      </c>
      <c r="D218" s="3"/>
      <c r="E218" s="4" t="s">
        <v>294</v>
      </c>
      <c r="F218" s="3" t="str">
        <f>IFERROR(__xludf.DUMMYFUNCTION("GOOGLETRANSLATE(B218,""en"",""ar"")"),"أقل")</f>
        <v>أقل</v>
      </c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4.25" customHeight="1">
      <c r="A219" s="5"/>
      <c r="B219" s="2" t="s">
        <v>295</v>
      </c>
      <c r="C219" s="2">
        <v>75.0</v>
      </c>
      <c r="D219" s="3"/>
      <c r="E219" s="4" t="s">
        <v>95</v>
      </c>
      <c r="F219" s="3" t="str">
        <f>IFERROR(__xludf.DUMMYFUNCTION("GOOGLETRANSLATE(B219,""en"",""ar"")"),"لعب")</f>
        <v>لعب</v>
      </c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4.25" customHeight="1">
      <c r="A220" s="5"/>
      <c r="B220" s="2" t="s">
        <v>296</v>
      </c>
      <c r="C220" s="2">
        <v>74.0</v>
      </c>
      <c r="D220" s="3"/>
      <c r="E220" s="4" t="s">
        <v>113</v>
      </c>
      <c r="F220" s="3" t="str">
        <f>IFERROR(__xludf.DUMMYFUNCTION("GOOGLETRANSLATE(B220,""en"",""ar"")"),"قادر")</f>
        <v>قادر</v>
      </c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4.25" customHeight="1">
      <c r="A221" s="5"/>
      <c r="B221" s="2" t="s">
        <v>297</v>
      </c>
      <c r="C221" s="2">
        <v>74.0</v>
      </c>
      <c r="D221" s="3"/>
      <c r="E221" s="4" t="s">
        <v>80</v>
      </c>
      <c r="F221" s="3" t="str">
        <f>IFERROR(__xludf.DUMMYFUNCTION("GOOGLETRANSLATE(B221,""en"",""ar"")"),"بيانات")</f>
        <v>بيانات</v>
      </c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4.25" customHeight="1">
      <c r="A222" s="5"/>
      <c r="B222" s="2" t="s">
        <v>298</v>
      </c>
      <c r="C222" s="2">
        <v>74.0</v>
      </c>
      <c r="D222" s="3"/>
      <c r="E222" s="4" t="s">
        <v>95</v>
      </c>
      <c r="F222" s="3" t="str">
        <f>IFERROR(__xludf.DUMMYFUNCTION("GOOGLETRANSLATE(B222,""en"",""ar"")"),"يشعر")</f>
        <v>يشعر</v>
      </c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4.25" customHeight="1">
      <c r="A223" s="5"/>
      <c r="B223" s="2" t="s">
        <v>299</v>
      </c>
      <c r="C223" s="2">
        <v>74.0</v>
      </c>
      <c r="D223" s="3"/>
      <c r="E223" s="4" t="s">
        <v>78</v>
      </c>
      <c r="F223" s="3" t="str">
        <f>IFERROR(__xludf.DUMMYFUNCTION("GOOGLETRANSLATE(B223,""en"",""ar"")"),"عالي")</f>
        <v>عالي</v>
      </c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4.25" customHeight="1">
      <c r="A224" s="5"/>
      <c r="B224" s="2" t="s">
        <v>300</v>
      </c>
      <c r="C224" s="2">
        <v>74.0</v>
      </c>
      <c r="D224" s="3"/>
      <c r="E224" s="4" t="s">
        <v>99</v>
      </c>
      <c r="F224" s="3" t="str">
        <f>IFERROR(__xludf.DUMMYFUNCTION("GOOGLETRANSLATE(B224,""en"",""ar"")"),"إيقاف")</f>
        <v>إيقاف</v>
      </c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4.25" customHeight="1">
      <c r="A225" s="5"/>
      <c r="B225" s="2" t="s">
        <v>301</v>
      </c>
      <c r="C225" s="2">
        <v>74.0</v>
      </c>
      <c r="D225" s="3"/>
      <c r="E225" s="4" t="s">
        <v>120</v>
      </c>
      <c r="F225" s="3" t="str">
        <f>IFERROR(__xludf.DUMMYFUNCTION("GOOGLETRANSLATE(B225,""en"",""ar"")"),"نقطة")</f>
        <v>نقطة</v>
      </c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4.25" customHeight="1">
      <c r="A226" s="5"/>
      <c r="B226" s="2" t="s">
        <v>302</v>
      </c>
      <c r="C226" s="2">
        <v>74.0</v>
      </c>
      <c r="D226" s="3"/>
      <c r="E226" s="4" t="s">
        <v>120</v>
      </c>
      <c r="F226" s="3" t="str">
        <f>IFERROR(__xludf.DUMMYFUNCTION("GOOGLETRANSLATE(B226,""en"",""ar"")"),"يكتب")</f>
        <v>يكتب</v>
      </c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4.25" customHeight="1">
      <c r="A227" s="5"/>
      <c r="B227" s="2" t="s">
        <v>303</v>
      </c>
      <c r="C227" s="2">
        <v>74.0</v>
      </c>
      <c r="D227" s="3"/>
      <c r="E227" s="4" t="s">
        <v>6</v>
      </c>
      <c r="F227" s="3" t="str">
        <f>IFERROR(__xludf.DUMMYFUNCTION("GOOGLETRANSLATE(B227,""en"",""ar"")"),"سواء")</f>
        <v>سواء</v>
      </c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4.25" customHeight="1">
      <c r="A228" s="5"/>
      <c r="B228" s="2" t="s">
        <v>304</v>
      </c>
      <c r="C228" s="2">
        <v>73.0</v>
      </c>
      <c r="D228" s="3"/>
      <c r="E228" s="4" t="s">
        <v>80</v>
      </c>
      <c r="F228" s="3" t="str">
        <f>IFERROR(__xludf.DUMMYFUNCTION("GOOGLETRANSLATE(B228,""en"",""ar"")"),"غذاء")</f>
        <v>غذاء</v>
      </c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4.25" customHeight="1">
      <c r="A229" s="5"/>
      <c r="B229" s="2" t="s">
        <v>305</v>
      </c>
      <c r="C229" s="2">
        <v>73.0</v>
      </c>
      <c r="D229" s="3"/>
      <c r="E229" s="4" t="s">
        <v>80</v>
      </c>
      <c r="F229" s="3" t="str">
        <f>IFERROR(__xludf.DUMMYFUNCTION("GOOGLETRANSLATE(B229,""en"",""ar"")"),"فهم")</f>
        <v>فهم</v>
      </c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4.25" customHeight="1">
      <c r="A230" s="5"/>
      <c r="B230" s="2" t="s">
        <v>306</v>
      </c>
      <c r="C230" s="2">
        <v>72.0</v>
      </c>
      <c r="D230" s="3"/>
      <c r="E230" s="4" t="s">
        <v>307</v>
      </c>
      <c r="F230" s="3" t="str">
        <f>IFERROR(__xludf.DUMMYFUNCTION("GOOGLETRANSLATE(B230,""en"",""ar"")"),"هنا")</f>
        <v>هنا</v>
      </c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4.25" customHeight="1">
      <c r="A231" s="5"/>
      <c r="B231" s="2" t="s">
        <v>308</v>
      </c>
      <c r="C231" s="2">
        <v>72.0</v>
      </c>
      <c r="D231" s="3"/>
      <c r="E231" s="4" t="s">
        <v>309</v>
      </c>
      <c r="F231" s="3" t="str">
        <f>IFERROR(__xludf.DUMMYFUNCTION("GOOGLETRANSLATE(B231,""en"",""ar"")"),"الصفحة الرئيسية")</f>
        <v>الصفحة الرئيسية</v>
      </c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4.25" customHeight="1">
      <c r="A232" s="5"/>
      <c r="B232" s="2" t="s">
        <v>310</v>
      </c>
      <c r="C232" s="2">
        <v>71.0</v>
      </c>
      <c r="D232" s="3"/>
      <c r="E232" s="4" t="s">
        <v>188</v>
      </c>
      <c r="F232" s="3" t="str">
        <f>IFERROR(__xludf.DUMMYFUNCTION("GOOGLETRANSLATE(B232,""en"",""ar"")"),"تأكيد")</f>
        <v>تأكيد</v>
      </c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4.25" customHeight="1">
      <c r="A233" s="5"/>
      <c r="B233" s="2" t="s">
        <v>311</v>
      </c>
      <c r="C233" s="2">
        <v>71.0</v>
      </c>
      <c r="D233" s="3"/>
      <c r="E233" s="4" t="s">
        <v>149</v>
      </c>
      <c r="F233" s="3" t="str">
        <f>IFERROR(__xludf.DUMMYFUNCTION("GOOGLETRANSLATE(B233,""en"",""ar"")"),"اقتصاد")</f>
        <v>اقتصاد</v>
      </c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4.25" customHeight="1">
      <c r="A234" s="5"/>
      <c r="B234" s="2" t="s">
        <v>312</v>
      </c>
      <c r="C234" s="2">
        <v>71.0</v>
      </c>
      <c r="D234" s="3"/>
      <c r="E234" s="4" t="s">
        <v>51</v>
      </c>
      <c r="F234" s="3" t="str">
        <f>IFERROR(__xludf.DUMMYFUNCTION("GOOGLETRANSLATE(B234,""en"",""ar"")"),"قليل")</f>
        <v>قليل</v>
      </c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4.25" customHeight="1">
      <c r="A235" s="5"/>
      <c r="B235" s="2" t="s">
        <v>313</v>
      </c>
      <c r="C235" s="2">
        <v>71.0</v>
      </c>
      <c r="D235" s="3"/>
      <c r="E235" s="4" t="s">
        <v>80</v>
      </c>
      <c r="F235" s="3" t="str">
        <f>IFERROR(__xludf.DUMMYFUNCTION("GOOGLETRANSLATE(B235,""en"",""ar"")"),"نظرية")</f>
        <v>نظرية</v>
      </c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4.25" customHeight="1">
      <c r="A236" s="5"/>
      <c r="B236" s="2" t="s">
        <v>314</v>
      </c>
      <c r="C236" s="2">
        <v>71.0</v>
      </c>
      <c r="D236" s="3"/>
      <c r="E236" s="4" t="s">
        <v>315</v>
      </c>
      <c r="F236" s="3" t="str">
        <f>IFERROR(__xludf.DUMMYFUNCTION("GOOGLETRANSLATE(B236,""en"",""ar"")"),"هذه الليلة")</f>
        <v>هذه الليلة</v>
      </c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4.25" customHeight="1">
      <c r="A237" s="5"/>
      <c r="B237" s="2" t="s">
        <v>316</v>
      </c>
      <c r="C237" s="2">
        <v>70.0</v>
      </c>
      <c r="D237" s="3"/>
      <c r="E237" s="4" t="s">
        <v>80</v>
      </c>
      <c r="F237" s="3" t="str">
        <f>IFERROR(__xludf.DUMMYFUNCTION("GOOGLETRANSLATE(B237,""en"",""ar"")"),"قانون")</f>
        <v>قانون</v>
      </c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4.25" customHeight="1">
      <c r="A238" s="5"/>
      <c r="B238" s="2" t="s">
        <v>317</v>
      </c>
      <c r="C238" s="2">
        <v>70.0</v>
      </c>
      <c r="D238" s="3"/>
      <c r="E238" s="4" t="s">
        <v>95</v>
      </c>
      <c r="F238" s="3" t="str">
        <f>IFERROR(__xludf.DUMMYFUNCTION("GOOGLETRANSLATE(B238,""en"",""ar"")"),"وضع")</f>
        <v>وضع</v>
      </c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4.25" customHeight="1">
      <c r="A239" s="5"/>
      <c r="B239" s="2" t="s">
        <v>318</v>
      </c>
      <c r="C239" s="2">
        <v>70.0</v>
      </c>
      <c r="D239" s="3"/>
      <c r="E239" s="4" t="s">
        <v>29</v>
      </c>
      <c r="F239" s="3" t="str">
        <f>IFERROR(__xludf.DUMMYFUNCTION("GOOGLETRANSLATE(B239,""en"",""ar"")"),"تحت")</f>
        <v>تحت</v>
      </c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4.25" customHeight="1">
      <c r="A240" s="5"/>
      <c r="B240" s="2" t="s">
        <v>319</v>
      </c>
      <c r="C240" s="2">
        <v>70.0</v>
      </c>
      <c r="D240" s="3"/>
      <c r="E240" s="4" t="s">
        <v>120</v>
      </c>
      <c r="F240" s="3" t="str">
        <f>IFERROR(__xludf.DUMMYFUNCTION("GOOGLETRANSLATE(B240,""en"",""ar"")"),"القيمة")</f>
        <v>القيمة</v>
      </c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4.25" customHeight="1">
      <c r="A241" s="5"/>
      <c r="B241" s="2" t="s">
        <v>320</v>
      </c>
      <c r="C241" s="2">
        <v>69.0</v>
      </c>
      <c r="D241" s="3"/>
      <c r="E241" s="4" t="s">
        <v>43</v>
      </c>
      <c r="F241" s="3" t="str">
        <f>IFERROR(__xludf.DUMMYFUNCTION("GOOGLETRANSLATE(B241,""en"",""ar"")"),"دائماً")</f>
        <v>دائماً</v>
      </c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4.25" customHeight="1">
      <c r="A242" s="5"/>
      <c r="B242" s="2" t="s">
        <v>321</v>
      </c>
      <c r="C242" s="2">
        <v>69.0</v>
      </c>
      <c r="D242" s="3"/>
      <c r="E242" s="4" t="s">
        <v>120</v>
      </c>
      <c r="F242" s="3" t="str">
        <f>IFERROR(__xludf.DUMMYFUNCTION("GOOGLETRANSLATE(B242,""en"",""ar"")"),"هيئة")</f>
        <v>هيئة</v>
      </c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4.25" customHeight="1">
      <c r="A243" s="5"/>
      <c r="B243" s="2" t="s">
        <v>322</v>
      </c>
      <c r="C243" s="2">
        <v>69.0</v>
      </c>
      <c r="D243" s="3"/>
      <c r="E243" s="4" t="s">
        <v>236</v>
      </c>
      <c r="F243" s="3" t="str">
        <f>IFERROR(__xludf.DUMMYFUNCTION("GOOGLETRANSLATE(B243,""en"",""ar"")"),"مشترك")</f>
        <v>مشترك</v>
      </c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4.25" customHeight="1">
      <c r="A244" s="5"/>
      <c r="B244" s="2" t="s">
        <v>323</v>
      </c>
      <c r="C244" s="2">
        <v>69.0</v>
      </c>
      <c r="D244" s="3"/>
      <c r="E244" s="4" t="s">
        <v>120</v>
      </c>
      <c r="F244" s="3" t="str">
        <f>IFERROR(__xludf.DUMMYFUNCTION("GOOGLETRANSLATE(B244,""en"",""ar"")"),"سوق")</f>
        <v>سوق</v>
      </c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4.25" customHeight="1">
      <c r="A245" s="5"/>
      <c r="B245" s="2" t="s">
        <v>324</v>
      </c>
      <c r="C245" s="2">
        <v>69.0</v>
      </c>
      <c r="D245" s="3"/>
      <c r="E245" s="4" t="s">
        <v>325</v>
      </c>
      <c r="F245" s="3" t="str">
        <f>IFERROR(__xludf.DUMMYFUNCTION("GOOGLETRANSLATE(B245,""en"",""ar"")"),"تعيين")</f>
        <v>تعيين</v>
      </c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4.25" customHeight="1">
      <c r="A246" s="5"/>
      <c r="B246" s="2" t="s">
        <v>326</v>
      </c>
      <c r="C246" s="2">
        <v>68.0</v>
      </c>
      <c r="D246" s="3"/>
      <c r="E246" s="4" t="s">
        <v>80</v>
      </c>
      <c r="F246" s="3" t="str">
        <f>IFERROR(__xludf.DUMMYFUNCTION("GOOGLETRANSLATE(B246,""en"",""ar"")"),"عصفور")</f>
        <v>عصفور</v>
      </c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4.25" customHeight="1">
      <c r="A247" s="5"/>
      <c r="B247" s="2" t="s">
        <v>327</v>
      </c>
      <c r="C247" s="2">
        <v>68.0</v>
      </c>
      <c r="D247" s="3"/>
      <c r="E247" s="4" t="s">
        <v>120</v>
      </c>
      <c r="F247" s="3" t="str">
        <f>IFERROR(__xludf.DUMMYFUNCTION("GOOGLETRANSLATE(B247,""en"",""ar"")"),"يرشد")</f>
        <v>يرشد</v>
      </c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4.25" customHeight="1">
      <c r="A248" s="5"/>
      <c r="B248" s="2" t="s">
        <v>328</v>
      </c>
      <c r="C248" s="2">
        <v>68.0</v>
      </c>
      <c r="D248" s="3"/>
      <c r="E248" s="4" t="s">
        <v>13</v>
      </c>
      <c r="F248" s="3" t="str">
        <f>IFERROR(__xludf.DUMMYFUNCTION("GOOGLETRANSLATE(B248,""en"",""ar"")"),"تزود")</f>
        <v>تزود</v>
      </c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4.25" customHeight="1">
      <c r="A249" s="5"/>
      <c r="B249" s="2" t="s">
        <v>329</v>
      </c>
      <c r="C249" s="2">
        <v>67.0</v>
      </c>
      <c r="D249" s="3"/>
      <c r="E249" s="4" t="s">
        <v>95</v>
      </c>
      <c r="F249" s="3" t="str">
        <f>IFERROR(__xludf.DUMMYFUNCTION("GOOGLETRANSLATE(B249,""en"",""ar"")"),"يتغيرون")</f>
        <v>يتغيرون</v>
      </c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4.25" customHeight="1">
      <c r="A250" s="5"/>
      <c r="B250" s="2" t="s">
        <v>330</v>
      </c>
      <c r="C250" s="2">
        <v>67.0</v>
      </c>
      <c r="D250" s="3"/>
      <c r="E250" s="4" t="s">
        <v>120</v>
      </c>
      <c r="F250" s="3" t="str">
        <f>IFERROR(__xludf.DUMMYFUNCTION("GOOGLETRANSLATE(B250,""en"",""ar"")"),"فائدة")</f>
        <v>فائدة</v>
      </c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4.25" customHeight="1">
      <c r="A251" s="5"/>
      <c r="B251" s="2" t="s">
        <v>331</v>
      </c>
      <c r="C251" s="2">
        <v>67.0</v>
      </c>
      <c r="D251" s="3"/>
      <c r="E251" s="4" t="s">
        <v>80</v>
      </c>
      <c r="F251" s="3" t="str">
        <f>IFERROR(__xludf.DUMMYFUNCTION("GOOGLETRANSLATE(B251,""en"",""ar"")"),"المؤلفات")</f>
        <v>المؤلفات</v>
      </c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4.25" customHeight="1">
      <c r="A252" s="5"/>
      <c r="B252" s="2" t="s">
        <v>332</v>
      </c>
      <c r="C252" s="2">
        <v>67.0</v>
      </c>
      <c r="D252" s="3"/>
      <c r="E252" s="4" t="s">
        <v>43</v>
      </c>
      <c r="F252" s="3" t="str">
        <f>IFERROR(__xludf.DUMMYFUNCTION("GOOGLETRANSLATE(B252,""en"",""ar"")"),"بعض الأحيان")</f>
        <v>بعض الأحيان</v>
      </c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4.25" customHeight="1">
      <c r="A253" s="5"/>
      <c r="B253" s="2" t="s">
        <v>333</v>
      </c>
      <c r="C253" s="2">
        <v>66.0</v>
      </c>
      <c r="D253" s="3"/>
      <c r="E253" s="4" t="s">
        <v>80</v>
      </c>
      <c r="F253" s="3" t="str">
        <f>IFERROR(__xludf.DUMMYFUNCTION("GOOGLETRANSLATE(B253,""en"",""ar"")"),"مشكلة")</f>
        <v>مشكلة</v>
      </c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4.25" customHeight="1">
      <c r="A254" s="5"/>
      <c r="B254" s="2" t="s">
        <v>334</v>
      </c>
      <c r="C254" s="2">
        <v>66.0</v>
      </c>
      <c r="D254" s="3"/>
      <c r="E254" s="4" t="s">
        <v>335</v>
      </c>
      <c r="F254" s="3" t="str">
        <f>IFERROR(__xludf.DUMMYFUNCTION("GOOGLETRANSLATE(B254,""en"",""ar"")"),"قل")</f>
        <v>قل</v>
      </c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4.25" customHeight="1">
      <c r="A255" s="5"/>
      <c r="B255" s="2" t="s">
        <v>336</v>
      </c>
      <c r="C255" s="2">
        <v>64.0</v>
      </c>
      <c r="D255" s="3"/>
      <c r="E255" s="4" t="s">
        <v>337</v>
      </c>
      <c r="F255" s="3" t="str">
        <f>IFERROR(__xludf.DUMMYFUNCTION("GOOGLETRANSLATE(B255,""en"",""ar"")"),"التالي")</f>
        <v>التالي</v>
      </c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4.25" customHeight="1">
      <c r="A256" s="5"/>
      <c r="B256" s="2" t="s">
        <v>338</v>
      </c>
      <c r="C256" s="2">
        <v>63.0</v>
      </c>
      <c r="D256" s="3"/>
      <c r="E256" s="4" t="s">
        <v>13</v>
      </c>
      <c r="F256" s="3" t="str">
        <f>IFERROR(__xludf.DUMMYFUNCTION("GOOGLETRANSLATE(B256,""en"",""ar"")"),"خلق")</f>
        <v>خلق</v>
      </c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4.25" customHeight="1">
      <c r="A257" s="5"/>
      <c r="B257" s="2" t="s">
        <v>339</v>
      </c>
      <c r="C257" s="2">
        <v>63.0</v>
      </c>
      <c r="D257" s="3"/>
      <c r="E257" s="4" t="s">
        <v>236</v>
      </c>
      <c r="F257" s="3" t="str">
        <f>IFERROR(__xludf.DUMMYFUNCTION("GOOGLETRANSLATE(B257,""en"",""ar"")"),"بسيط")</f>
        <v>بسيط</v>
      </c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4.25" customHeight="1">
      <c r="A258" s="5"/>
      <c r="B258" s="2" t="s">
        <v>340</v>
      </c>
      <c r="C258" s="2">
        <v>63.0</v>
      </c>
      <c r="D258" s="3"/>
      <c r="E258" s="4" t="s">
        <v>80</v>
      </c>
      <c r="F258" s="3" t="str">
        <f>IFERROR(__xludf.DUMMYFUNCTION("GOOGLETRANSLATE(B258,""en"",""ar"")"),"البرمجيات")</f>
        <v>البرمجيات</v>
      </c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4.25" customHeight="1">
      <c r="A259" s="5"/>
      <c r="B259" s="2" t="s">
        <v>341</v>
      </c>
      <c r="C259" s="2">
        <v>63.0</v>
      </c>
      <c r="D259" s="3"/>
      <c r="E259" s="4" t="s">
        <v>120</v>
      </c>
      <c r="F259" s="3" t="str">
        <f>IFERROR(__xludf.DUMMYFUNCTION("GOOGLETRANSLATE(B259,""en"",""ar"")"),"حالة")</f>
        <v>حالة</v>
      </c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4.25" customHeight="1">
      <c r="A260" s="5"/>
      <c r="B260" s="2" t="s">
        <v>342</v>
      </c>
      <c r="C260" s="2">
        <v>63.0</v>
      </c>
      <c r="D260" s="3"/>
      <c r="E260" s="4" t="s">
        <v>43</v>
      </c>
      <c r="F260" s="3" t="str">
        <f>IFERROR(__xludf.DUMMYFUNCTION("GOOGLETRANSLATE(B260,""en"",""ar"")"),"معاً")</f>
        <v>معاً</v>
      </c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4.25" customHeight="1">
      <c r="A261" s="5"/>
      <c r="B261" s="2" t="s">
        <v>343</v>
      </c>
      <c r="C261" s="2">
        <v>62.0</v>
      </c>
      <c r="D261" s="3"/>
      <c r="E261" s="4" t="s">
        <v>80</v>
      </c>
      <c r="F261" s="3" t="str">
        <f>IFERROR(__xludf.DUMMYFUNCTION("GOOGLETRANSLATE(B261,""en"",""ar"")"),"مراقبة")</f>
        <v>مراقبة</v>
      </c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4.25" customHeight="1">
      <c r="A262" s="5"/>
      <c r="B262" s="2" t="s">
        <v>344</v>
      </c>
      <c r="C262" s="2">
        <v>62.0</v>
      </c>
      <c r="D262" s="3"/>
      <c r="E262" s="4" t="s">
        <v>80</v>
      </c>
      <c r="F262" s="3" t="str">
        <f>IFERROR(__xludf.DUMMYFUNCTION("GOOGLETRANSLATE(B262,""en"",""ar"")"),"المعرفه")</f>
        <v>المعرفه</v>
      </c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4.25" customHeight="1">
      <c r="A263" s="5"/>
      <c r="B263" s="2" t="s">
        <v>345</v>
      </c>
      <c r="C263" s="2">
        <v>62.0</v>
      </c>
      <c r="D263" s="3"/>
      <c r="E263" s="4" t="s">
        <v>80</v>
      </c>
      <c r="F263" s="3" t="str">
        <f>IFERROR(__xludf.DUMMYFUNCTION("GOOGLETRANSLATE(B263,""en"",""ar"")"),"قوة")</f>
        <v>قوة</v>
      </c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4.25" customHeight="1">
      <c r="A264" s="5"/>
      <c r="B264" s="2" t="s">
        <v>346</v>
      </c>
      <c r="C264" s="2">
        <v>62.0</v>
      </c>
      <c r="D264" s="3"/>
      <c r="E264" s="4" t="s">
        <v>120</v>
      </c>
      <c r="F264" s="3" t="str">
        <f>IFERROR(__xludf.DUMMYFUNCTION("GOOGLETRANSLATE(B264,""en"",""ar"")"),"مذياع")</f>
        <v>مذياع</v>
      </c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4.25" customHeight="1">
      <c r="A265" s="5"/>
      <c r="B265" s="2" t="s">
        <v>347</v>
      </c>
      <c r="C265" s="2">
        <v>61.0</v>
      </c>
      <c r="D265" s="3"/>
      <c r="E265" s="4" t="s">
        <v>80</v>
      </c>
      <c r="F265" s="3" t="str">
        <f>IFERROR(__xludf.DUMMYFUNCTION("GOOGLETRANSLATE(B265,""en"",""ar"")"),"قدرة")</f>
        <v>قدرة</v>
      </c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4.25" customHeight="1">
      <c r="A266" s="5"/>
      <c r="B266" s="2" t="s">
        <v>348</v>
      </c>
      <c r="C266" s="2">
        <v>61.0</v>
      </c>
      <c r="D266" s="3"/>
      <c r="E266" s="4" t="s">
        <v>113</v>
      </c>
      <c r="F266" s="3" t="str">
        <f>IFERROR(__xludf.DUMMYFUNCTION("GOOGLETRANSLATE(B266,""en"",""ar"")"),"أساسي")</f>
        <v>أساسي</v>
      </c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4.25" customHeight="1">
      <c r="A267" s="5"/>
      <c r="B267" s="2" t="s">
        <v>349</v>
      </c>
      <c r="C267" s="2">
        <v>61.0</v>
      </c>
      <c r="D267" s="3"/>
      <c r="E267" s="4" t="s">
        <v>120</v>
      </c>
      <c r="F267" s="3" t="str">
        <f>IFERROR(__xludf.DUMMYFUNCTION("GOOGLETRANSLATE(B267,""en"",""ar"")"),"مسار")</f>
        <v>مسار</v>
      </c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4.25" customHeight="1">
      <c r="A268" s="5"/>
      <c r="B268" s="2" t="s">
        <v>350</v>
      </c>
      <c r="C268" s="2">
        <v>61.0</v>
      </c>
      <c r="D268" s="3"/>
      <c r="E268" s="4" t="s">
        <v>80</v>
      </c>
      <c r="F268" s="3" t="str">
        <f>IFERROR(__xludf.DUMMYFUNCTION("GOOGLETRANSLATE(B268,""en"",""ar"")"),"اقتصاديات")</f>
        <v>اقتصاديات</v>
      </c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4.25" customHeight="1">
      <c r="A269" s="5"/>
      <c r="B269" s="2" t="s">
        <v>351</v>
      </c>
      <c r="C269" s="2">
        <v>61.0</v>
      </c>
      <c r="D269" s="3"/>
      <c r="E269" s="4" t="s">
        <v>51</v>
      </c>
      <c r="F269" s="3" t="str">
        <f>IFERROR(__xludf.DUMMYFUNCTION("GOOGLETRANSLATE(B269,""en"",""ar"")"),"الصعب")</f>
        <v>الصعب</v>
      </c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4.25" customHeight="1">
      <c r="A270" s="5"/>
      <c r="B270" s="2" t="s">
        <v>352</v>
      </c>
      <c r="C270" s="2">
        <v>60.0</v>
      </c>
      <c r="D270" s="3"/>
      <c r="E270" s="4" t="s">
        <v>13</v>
      </c>
      <c r="F270" s="3" t="str">
        <f>IFERROR(__xludf.DUMMYFUNCTION("GOOGLETRANSLATE(B270,""en"",""ar"")"),"يضيف")</f>
        <v>يضيف</v>
      </c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4.25" customHeight="1">
      <c r="A271" s="5"/>
      <c r="B271" s="2" t="s">
        <v>353</v>
      </c>
      <c r="C271" s="2">
        <v>60.0</v>
      </c>
      <c r="D271" s="3"/>
      <c r="E271" s="4" t="s">
        <v>120</v>
      </c>
      <c r="F271" s="3" t="str">
        <f>IFERROR(__xludf.DUMMYFUNCTION("GOOGLETRANSLATE(B271,""en"",""ar"")"),"شركة")</f>
        <v>شركة</v>
      </c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4.25" customHeight="1">
      <c r="A272" s="5"/>
      <c r="B272" s="2" t="s">
        <v>354</v>
      </c>
      <c r="C272" s="2">
        <v>60.0</v>
      </c>
      <c r="D272" s="3"/>
      <c r="E272" s="4" t="s">
        <v>113</v>
      </c>
      <c r="F272" s="3" t="str">
        <f>IFERROR(__xludf.DUMMYFUNCTION("GOOGLETRANSLATE(B272,""en"",""ar"")"),"معروف")</f>
        <v>معروف</v>
      </c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4.25" customHeight="1">
      <c r="A273" s="5"/>
      <c r="B273" s="2" t="s">
        <v>355</v>
      </c>
      <c r="C273" s="2">
        <v>60.0</v>
      </c>
      <c r="D273" s="3"/>
      <c r="E273" s="4" t="s">
        <v>80</v>
      </c>
      <c r="F273" s="3" t="str">
        <f>IFERROR(__xludf.DUMMYFUNCTION("GOOGLETRANSLATE(B273,""en"",""ar"")"),"الحب")</f>
        <v>الحب</v>
      </c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4.25" customHeight="1">
      <c r="A274" s="5"/>
      <c r="B274" s="2" t="s">
        <v>356</v>
      </c>
      <c r="C274" s="2">
        <v>60.0</v>
      </c>
      <c r="D274" s="3"/>
      <c r="E274" s="4" t="s">
        <v>357</v>
      </c>
      <c r="F274" s="3" t="str">
        <f>IFERROR(__xludf.DUMMYFUNCTION("GOOGLETRANSLATE(B274,""en"",""ar"")"),"ماضي")</f>
        <v>ماضي</v>
      </c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4.25" customHeight="1">
      <c r="A275" s="5"/>
      <c r="B275" s="2" t="s">
        <v>358</v>
      </c>
      <c r="C275" s="2">
        <v>60.0</v>
      </c>
      <c r="D275" s="3"/>
      <c r="E275" s="4" t="s">
        <v>120</v>
      </c>
      <c r="F275" s="3" t="str">
        <f>IFERROR(__xludf.DUMMYFUNCTION("GOOGLETRANSLATE(B275,""en"",""ar"")"),"سعر")</f>
        <v>سعر</v>
      </c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4.25" customHeight="1">
      <c r="A276" s="5"/>
      <c r="B276" s="2" t="s">
        <v>359</v>
      </c>
      <c r="C276" s="2">
        <v>60.0</v>
      </c>
      <c r="D276" s="3"/>
      <c r="E276" s="4" t="s">
        <v>129</v>
      </c>
      <c r="F276" s="3" t="str">
        <f>IFERROR(__xludf.DUMMYFUNCTION("GOOGLETRANSLATE(B276,""en"",""ar"")"),"بحجم")</f>
        <v>بحجم</v>
      </c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4.25" customHeight="1">
      <c r="A277" s="5"/>
      <c r="B277" s="2" t="s">
        <v>360</v>
      </c>
      <c r="C277" s="2">
        <v>59.0</v>
      </c>
      <c r="D277" s="3"/>
      <c r="E277" s="4" t="s">
        <v>144</v>
      </c>
      <c r="F277" s="3" t="str">
        <f>IFERROR(__xludf.DUMMYFUNCTION("GOOGLETRANSLATE(B277,""en"",""ar"")"),"بعيد")</f>
        <v>بعيد</v>
      </c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4.25" customHeight="1">
      <c r="A278" s="5"/>
      <c r="B278" s="2" t="s">
        <v>361</v>
      </c>
      <c r="C278" s="2">
        <v>59.0</v>
      </c>
      <c r="D278" s="3"/>
      <c r="E278" s="4" t="s">
        <v>236</v>
      </c>
      <c r="F278" s="3" t="str">
        <f>IFERROR(__xludf.DUMMYFUNCTION("GOOGLETRANSLATE(B278,""en"",""ar"")"),"كبير")</f>
        <v>كبير</v>
      </c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4.25" customHeight="1">
      <c r="A279" s="5"/>
      <c r="B279" s="2" t="s">
        <v>362</v>
      </c>
      <c r="C279" s="2">
        <v>59.0</v>
      </c>
      <c r="D279" s="3"/>
      <c r="E279" s="4" t="s">
        <v>80</v>
      </c>
      <c r="F279" s="3" t="str">
        <f>IFERROR(__xludf.DUMMYFUNCTION("GOOGLETRANSLATE(B279,""en"",""ar"")"),"إنترنت")</f>
        <v>إنترنت</v>
      </c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4.25" customHeight="1">
      <c r="A280" s="5"/>
      <c r="B280" s="2" t="s">
        <v>363</v>
      </c>
      <c r="C280" s="2">
        <v>59.0</v>
      </c>
      <c r="D280" s="3"/>
      <c r="E280" s="4" t="s">
        <v>236</v>
      </c>
      <c r="F280" s="3" t="str">
        <f>IFERROR(__xludf.DUMMYFUNCTION("GOOGLETRANSLATE(B280,""en"",""ar"")"),"المستطاع")</f>
        <v>المستطاع</v>
      </c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4.25" customHeight="1">
      <c r="A281" s="5"/>
      <c r="B281" s="2" t="s">
        <v>364</v>
      </c>
      <c r="C281" s="2">
        <v>59.0</v>
      </c>
      <c r="D281" s="3"/>
      <c r="E281" s="4" t="s">
        <v>80</v>
      </c>
      <c r="F281" s="3" t="str">
        <f>IFERROR(__xludf.DUMMYFUNCTION("GOOGLETRANSLATE(B281,""en"",""ar"")"),"التلفاز")</f>
        <v>التلفاز</v>
      </c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4.25" customHeight="1">
      <c r="A282" s="5"/>
      <c r="B282" s="2" t="s">
        <v>365</v>
      </c>
      <c r="C282" s="2">
        <v>59.0</v>
      </c>
      <c r="D282" s="3"/>
      <c r="E282" s="4" t="s">
        <v>366</v>
      </c>
      <c r="F282" s="3" t="str">
        <f>IFERROR(__xludf.DUMMYFUNCTION("GOOGLETRANSLATE(B282,""en"",""ar"")"),"ثلاثة")</f>
        <v>ثلاثة</v>
      </c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4.25" customHeight="1">
      <c r="A283" s="5"/>
      <c r="B283" s="2" t="s">
        <v>367</v>
      </c>
      <c r="C283" s="2">
        <v>59.0</v>
      </c>
      <c r="D283" s="3"/>
      <c r="E283" s="4" t="s">
        <v>13</v>
      </c>
      <c r="F283" s="3" t="str">
        <f>IFERROR(__xludf.DUMMYFUNCTION("GOOGLETRANSLATE(B283,""en"",""ar"")"),"تفهم")</f>
        <v>تفهم</v>
      </c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4.25" customHeight="1">
      <c r="A284" s="5"/>
      <c r="B284" s="2" t="s">
        <v>368</v>
      </c>
      <c r="C284" s="2">
        <v>59.0</v>
      </c>
      <c r="D284" s="3"/>
      <c r="E284" s="4" t="s">
        <v>113</v>
      </c>
      <c r="F284" s="3" t="str">
        <f>IFERROR(__xludf.DUMMYFUNCTION("GOOGLETRANSLATE(B284,""en"",""ar"")"),"مختلف")</f>
        <v>مختلف</v>
      </c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4.25" customHeight="1">
      <c r="A285" s="5"/>
      <c r="B285" s="2" t="s">
        <v>369</v>
      </c>
      <c r="C285" s="2">
        <v>59.0</v>
      </c>
      <c r="D285" s="3"/>
      <c r="E285" s="4" t="s">
        <v>31</v>
      </c>
      <c r="F285" s="3" t="str">
        <f>IFERROR(__xludf.DUMMYFUNCTION("GOOGLETRANSLATE(B285,""en"",""ar"")"),"نفسك")</f>
        <v>نفسك</v>
      </c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4.25" customHeight="1">
      <c r="A286" s="5"/>
      <c r="B286" s="2" t="s">
        <v>370</v>
      </c>
      <c r="C286" s="2">
        <v>58.0</v>
      </c>
      <c r="D286" s="3"/>
      <c r="E286" s="4" t="s">
        <v>120</v>
      </c>
      <c r="F286" s="3" t="str">
        <f>IFERROR(__xludf.DUMMYFUNCTION("GOOGLETRANSLATE(B286,""en"",""ar"")"),"بطاقة")</f>
        <v>بطاقة</v>
      </c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4.25" customHeight="1">
      <c r="A287" s="5"/>
      <c r="B287" s="2" t="s">
        <v>371</v>
      </c>
      <c r="C287" s="2">
        <v>58.0</v>
      </c>
      <c r="D287" s="3"/>
      <c r="E287" s="4" t="s">
        <v>113</v>
      </c>
      <c r="F287" s="3" t="str">
        <f>IFERROR(__xludf.DUMMYFUNCTION("GOOGLETRANSLATE(B287,""en"",""ar"")"),"صعبة")</f>
        <v>صعبة</v>
      </c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4.25" customHeight="1">
      <c r="A288" s="5"/>
      <c r="B288" s="2" t="s">
        <v>372</v>
      </c>
      <c r="C288" s="2">
        <v>58.0</v>
      </c>
      <c r="D288" s="3"/>
      <c r="E288" s="4" t="s">
        <v>33</v>
      </c>
      <c r="F288" s="3" t="str">
        <f>IFERROR(__xludf.DUMMYFUNCTION("GOOGLETRANSLATE(B288,""en"",""ar"")"),"بما فيها")</f>
        <v>بما فيها</v>
      </c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4.25" customHeight="1">
      <c r="A289" s="5"/>
      <c r="B289" s="2" t="s">
        <v>373</v>
      </c>
      <c r="C289" s="2">
        <v>58.0</v>
      </c>
      <c r="D289" s="3"/>
      <c r="E289" s="4" t="s">
        <v>120</v>
      </c>
      <c r="F289" s="3" t="str">
        <f>IFERROR(__xludf.DUMMYFUNCTION("GOOGLETRANSLATE(B289,""en"",""ar"")"),"قائمة")</f>
        <v>قائمة</v>
      </c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4.25" customHeight="1">
      <c r="A290" s="5"/>
      <c r="B290" s="2" t="s">
        <v>374</v>
      </c>
      <c r="C290" s="2">
        <v>58.0</v>
      </c>
      <c r="D290" s="3"/>
      <c r="E290" s="4" t="s">
        <v>120</v>
      </c>
      <c r="F290" s="3" t="str">
        <f>IFERROR(__xludf.DUMMYFUNCTION("GOOGLETRANSLATE(B290,""en"",""ar"")"),"عقل _ يمانع")</f>
        <v>عقل _ يمانع</v>
      </c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4.25" customHeight="1">
      <c r="A291" s="5"/>
      <c r="B291" s="2" t="s">
        <v>375</v>
      </c>
      <c r="C291" s="2">
        <v>58.0</v>
      </c>
      <c r="D291" s="3"/>
      <c r="E291" s="4" t="s">
        <v>236</v>
      </c>
      <c r="F291" s="3" t="str">
        <f>IFERROR(__xludf.DUMMYFUNCTION("GOOGLETRANSLATE(B291,""en"",""ar"")"),"خاص")</f>
        <v>خاص</v>
      </c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4.25" customHeight="1">
      <c r="A292" s="5"/>
      <c r="B292" s="2"/>
      <c r="C292" s="2">
        <v>58.0</v>
      </c>
      <c r="D292" s="3"/>
      <c r="E292" s="4" t="s">
        <v>337</v>
      </c>
      <c r="F292" s="3" t="str">
        <f>IFERROR(__xludf.DUMMYFUNCTION("GOOGLETRANSLATE(B292,""en"",""ar"")"),"#VALUE!")</f>
        <v>#VALUE!</v>
      </c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4.25" customHeight="1">
      <c r="A293" s="5"/>
      <c r="B293" s="2" t="s">
        <v>376</v>
      </c>
      <c r="C293" s="2">
        <v>58.0</v>
      </c>
      <c r="D293" s="3"/>
      <c r="E293" s="4" t="s">
        <v>80</v>
      </c>
      <c r="F293" s="3" t="str">
        <f>IFERROR(__xludf.DUMMYFUNCTION("GOOGLETRANSLATE(B293,""en"",""ar"")"),"علوم")</f>
        <v>علوم</v>
      </c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4.25" customHeight="1">
      <c r="A294" s="5"/>
      <c r="B294" s="2" t="s">
        <v>377</v>
      </c>
      <c r="C294" s="2">
        <v>58.0</v>
      </c>
      <c r="D294" s="3"/>
      <c r="E294" s="4" t="s">
        <v>120</v>
      </c>
      <c r="F294" s="3" t="str">
        <f>IFERROR(__xludf.DUMMYFUNCTION("GOOGLETRANSLATE(B294,""en"",""ar"")"),"تجارة")</f>
        <v>تجارة</v>
      </c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4.25" customHeight="1">
      <c r="A295" s="5"/>
      <c r="B295" s="2" t="s">
        <v>378</v>
      </c>
      <c r="C295" s="2">
        <v>57.0</v>
      </c>
      <c r="D295" s="3"/>
      <c r="E295" s="4" t="s">
        <v>13</v>
      </c>
      <c r="F295" s="3" t="str">
        <f>IFERROR(__xludf.DUMMYFUNCTION("GOOGLETRANSLATE(B295,""en"",""ar"")"),"انصح")</f>
        <v>انصح</v>
      </c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4.25" customHeight="1">
      <c r="A296" s="5"/>
      <c r="B296" s="2" t="s">
        <v>379</v>
      </c>
      <c r="C296" s="2">
        <v>57.0</v>
      </c>
      <c r="D296" s="3"/>
      <c r="E296" s="4" t="s">
        <v>380</v>
      </c>
      <c r="F296" s="3" t="str">
        <f>IFERROR(__xludf.DUMMYFUNCTION("GOOGLETRANSLATE(B296,""en"",""ar"")"),"أيضاً")</f>
        <v>أيضاً</v>
      </c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4.25" customHeight="1">
      <c r="A297" s="5"/>
      <c r="B297" s="2" t="s">
        <v>381</v>
      </c>
      <c r="C297" s="2">
        <v>57.0</v>
      </c>
      <c r="D297" s="3"/>
      <c r="E297" s="4" t="s">
        <v>80</v>
      </c>
      <c r="F297" s="3" t="str">
        <f>IFERROR(__xludf.DUMMYFUNCTION("GOOGLETRANSLATE(B297,""en"",""ar"")"),"مكتبة")</f>
        <v>مكتبة</v>
      </c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4.25" customHeight="1">
      <c r="A298" s="5"/>
      <c r="B298" s="2" t="s">
        <v>382</v>
      </c>
      <c r="C298" s="2">
        <v>57.0</v>
      </c>
      <c r="D298" s="3"/>
      <c r="E298" s="4" t="s">
        <v>43</v>
      </c>
      <c r="F298" s="3" t="str">
        <f>IFERROR(__xludf.DUMMYFUNCTION("GOOGLETRANSLATE(B298,""en"",""ar"")"),"المحتمل أن")</f>
        <v>المحتمل أن</v>
      </c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4.25" customHeight="1">
      <c r="A299" s="5"/>
      <c r="B299" s="2" t="s">
        <v>383</v>
      </c>
      <c r="C299" s="2">
        <v>57.0</v>
      </c>
      <c r="D299" s="3"/>
      <c r="E299" s="4" t="s">
        <v>80</v>
      </c>
      <c r="F299" s="3" t="str">
        <f>IFERROR(__xludf.DUMMYFUNCTION("GOOGLETRANSLATE(B299,""en"",""ar"")"),"طبيعة سجية")</f>
        <v>طبيعة سجية</v>
      </c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4.25" customHeight="1">
      <c r="A300" s="5"/>
      <c r="B300" s="2" t="s">
        <v>384</v>
      </c>
      <c r="C300" s="2">
        <v>56.0</v>
      </c>
      <c r="D300" s="3"/>
      <c r="E300" s="4" t="s">
        <v>80</v>
      </c>
      <c r="F300" s="3" t="str">
        <f>IFERROR(__xludf.DUMMYFUNCTION("GOOGLETRANSLATE(B300,""en"",""ar"")"),"حقيقة")</f>
        <v>حقيقة</v>
      </c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4.25" customHeight="1">
      <c r="A301" s="5"/>
      <c r="B301" s="2" t="s">
        <v>385</v>
      </c>
      <c r="C301" s="2">
        <v>56.0</v>
      </c>
      <c r="D301" s="3"/>
      <c r="E301" s="4" t="s">
        <v>120</v>
      </c>
      <c r="F301" s="3" t="str">
        <f>IFERROR(__xludf.DUMMYFUNCTION("GOOGLETRANSLATE(B301,""en"",""ar"")"),"خط")</f>
        <v>خط</v>
      </c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4.25" customHeight="1">
      <c r="A302" s="5"/>
      <c r="B302" s="2" t="s">
        <v>386</v>
      </c>
      <c r="C302" s="2">
        <v>56.0</v>
      </c>
      <c r="D302" s="3"/>
      <c r="E302" s="4" t="s">
        <v>80</v>
      </c>
      <c r="F302" s="3" t="str">
        <f>IFERROR(__xludf.DUMMYFUNCTION("GOOGLETRANSLATE(B302,""en"",""ar"")"),"منتج")</f>
        <v>منتج</v>
      </c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4.25" customHeight="1">
      <c r="A303" s="5"/>
      <c r="B303" s="2" t="s">
        <v>387</v>
      </c>
      <c r="C303" s="2">
        <v>55.0</v>
      </c>
      <c r="D303" s="3"/>
      <c r="E303" s="4" t="s">
        <v>120</v>
      </c>
      <c r="F303" s="3" t="str">
        <f>IFERROR(__xludf.DUMMYFUNCTION("GOOGLETRANSLATE(B303,""en"",""ar"")"),"رعاية")</f>
        <v>رعاية</v>
      </c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4.25" customHeight="1">
      <c r="A304" s="5"/>
      <c r="B304" s="2" t="s">
        <v>388</v>
      </c>
      <c r="C304" s="2">
        <v>55.0</v>
      </c>
      <c r="D304" s="3"/>
      <c r="E304" s="4" t="s">
        <v>120</v>
      </c>
      <c r="F304" s="3" t="str">
        <f>IFERROR(__xludf.DUMMYFUNCTION("GOOGLETRANSLATE(B304,""en"",""ar"")"),"مجموعة")</f>
        <v>مجموعة</v>
      </c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4.25" customHeight="1">
      <c r="A305" s="5"/>
      <c r="B305" s="2" t="s">
        <v>389</v>
      </c>
      <c r="C305" s="2">
        <v>55.0</v>
      </c>
      <c r="D305" s="3"/>
      <c r="E305" s="4" t="s">
        <v>80</v>
      </c>
      <c r="F305" s="3" t="str">
        <f>IFERROR(__xludf.DUMMYFUNCTION("GOOGLETRANSLATE(B305,""en"",""ar"")"),"فكرة")</f>
        <v>فكرة</v>
      </c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4.25" customHeight="1">
      <c r="A306" s="5"/>
      <c r="B306" s="2" t="s">
        <v>390</v>
      </c>
      <c r="C306" s="2">
        <v>55.0</v>
      </c>
      <c r="D306" s="3"/>
      <c r="E306" s="4" t="s">
        <v>120</v>
      </c>
      <c r="F306" s="3" t="str">
        <f>IFERROR(__xludf.DUMMYFUNCTION("GOOGLETRANSLATE(B306,""en"",""ar"")"),"مخاطرة")</f>
        <v>مخاطرة</v>
      </c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4.25" customHeight="1">
      <c r="A307" s="5"/>
      <c r="B307" s="2" t="s">
        <v>391</v>
      </c>
      <c r="C307" s="2">
        <v>55.0</v>
      </c>
      <c r="D307" s="3"/>
      <c r="E307" s="4" t="s">
        <v>113</v>
      </c>
      <c r="F307" s="3" t="str">
        <f>IFERROR(__xludf.DUMMYFUNCTION("GOOGLETRANSLATE(B307,""en"",""ar"")"),"العديد من")</f>
        <v>العديد من</v>
      </c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4.25" customHeight="1">
      <c r="A308" s="5"/>
      <c r="B308" s="2" t="s">
        <v>392</v>
      </c>
      <c r="C308" s="2">
        <v>55.0</v>
      </c>
      <c r="D308" s="3"/>
      <c r="E308" s="4" t="s">
        <v>31</v>
      </c>
      <c r="F308" s="3" t="str">
        <f>IFERROR(__xludf.DUMMYFUNCTION("GOOGLETRANSLATE(B308,""en"",""ar"")"),"شخصا ما")</f>
        <v>شخصا ما</v>
      </c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4.25" customHeight="1">
      <c r="A309" s="5"/>
      <c r="B309" s="2" t="s">
        <v>393</v>
      </c>
      <c r="C309" s="2">
        <v>55.0</v>
      </c>
      <c r="D309" s="3"/>
      <c r="E309" s="4" t="s">
        <v>80</v>
      </c>
      <c r="F309" s="3" t="str">
        <f>IFERROR(__xludf.DUMMYFUNCTION("GOOGLETRANSLATE(B309,""en"",""ar"")"),"درجة الحرارة")</f>
        <v>درجة الحرارة</v>
      </c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4.25" customHeight="1">
      <c r="A310" s="5"/>
      <c r="B310" s="2" t="s">
        <v>394</v>
      </c>
      <c r="C310" s="2">
        <v>55.0</v>
      </c>
      <c r="D310" s="3"/>
      <c r="E310" s="4" t="s">
        <v>113</v>
      </c>
      <c r="F310" s="3" t="str">
        <f>IFERROR(__xludf.DUMMYFUNCTION("GOOGLETRANSLATE(B310,""en"",""ar"")"),"المتحدة")</f>
        <v>المتحدة</v>
      </c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4.25" customHeight="1">
      <c r="A311" s="5"/>
      <c r="B311" s="2" t="s">
        <v>395</v>
      </c>
      <c r="C311" s="2">
        <v>55.0</v>
      </c>
      <c r="D311" s="3"/>
      <c r="E311" s="4" t="s">
        <v>396</v>
      </c>
      <c r="F311" s="3" t="str">
        <f>IFERROR(__xludf.DUMMYFUNCTION("GOOGLETRANSLATE(B311,""en"",""ar"")"),"كلمة")</f>
        <v>كلمة</v>
      </c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4.25" customHeight="1">
      <c r="A312" s="5"/>
      <c r="B312" s="2" t="s">
        <v>397</v>
      </c>
      <c r="C312" s="2">
        <v>54.0</v>
      </c>
      <c r="D312" s="3"/>
      <c r="E312" s="4" t="s">
        <v>84</v>
      </c>
      <c r="F312" s="3" t="str">
        <f>IFERROR(__xludf.DUMMYFUNCTION("GOOGLETRANSLATE(B312,""en"",""ar"")"),"سمين")</f>
        <v>سمين</v>
      </c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4.25" customHeight="1">
      <c r="A313" s="5"/>
      <c r="B313" s="2" t="s">
        <v>398</v>
      </c>
      <c r="C313" s="2">
        <v>54.0</v>
      </c>
      <c r="D313" s="3"/>
      <c r="E313" s="4" t="s">
        <v>120</v>
      </c>
      <c r="F313" s="3" t="str">
        <f>IFERROR(__xludf.DUMMYFUNCTION("GOOGLETRANSLATE(B313,""en"",""ar"")"),"فرض")</f>
        <v>فرض</v>
      </c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4.25" customHeight="1">
      <c r="A314" s="5"/>
      <c r="B314" s="2" t="s">
        <v>399</v>
      </c>
      <c r="C314" s="2">
        <v>54.0</v>
      </c>
      <c r="D314" s="3"/>
      <c r="E314" s="4" t="s">
        <v>84</v>
      </c>
      <c r="F314" s="3" t="str">
        <f>IFERROR(__xludf.DUMMYFUNCTION("GOOGLETRANSLATE(B314,""en"",""ar"")"),"مفتاح")</f>
        <v>مفتاح</v>
      </c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4.25" customHeight="1">
      <c r="A315" s="5"/>
      <c r="B315" s="2" t="s">
        <v>400</v>
      </c>
      <c r="C315" s="2">
        <v>54.0</v>
      </c>
      <c r="D315" s="3"/>
      <c r="E315" s="4" t="s">
        <v>129</v>
      </c>
      <c r="F315" s="3" t="str">
        <f>IFERROR(__xludf.DUMMYFUNCTION("GOOGLETRANSLATE(B315,""en"",""ar"")"),"خفيفة")</f>
        <v>خفيفة</v>
      </c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4.25" customHeight="1">
      <c r="A316" s="5"/>
      <c r="B316" s="2" t="s">
        <v>401</v>
      </c>
      <c r="C316" s="2">
        <v>54.0</v>
      </c>
      <c r="D316" s="3"/>
      <c r="E316" s="4" t="s">
        <v>43</v>
      </c>
      <c r="F316" s="3" t="str">
        <f>IFERROR(__xludf.DUMMYFUNCTION("GOOGLETRANSLATE(B316,""en"",""ar"")"),"ببساطة")</f>
        <v>ببساطة</v>
      </c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4.25" customHeight="1">
      <c r="A317" s="5"/>
      <c r="B317" s="2" t="s">
        <v>402</v>
      </c>
      <c r="C317" s="2">
        <v>54.0</v>
      </c>
      <c r="D317" s="3"/>
      <c r="E317" s="4" t="s">
        <v>315</v>
      </c>
      <c r="F317" s="3" t="str">
        <f>IFERROR(__xludf.DUMMYFUNCTION("GOOGLETRANSLATE(B317,""en"",""ar"")"),"اليوم")</f>
        <v>اليوم</v>
      </c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4.25" customHeight="1">
      <c r="A318" s="5"/>
      <c r="B318" s="2" t="s">
        <v>403</v>
      </c>
      <c r="C318" s="2">
        <v>54.0</v>
      </c>
      <c r="D318" s="3"/>
      <c r="E318" s="4" t="s">
        <v>149</v>
      </c>
      <c r="F318" s="3" t="str">
        <f>IFERROR(__xludf.DUMMYFUNCTION("GOOGLETRANSLATE(B318,""en"",""ar"")"),"تمرين")</f>
        <v>تمرين</v>
      </c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4.25" customHeight="1">
      <c r="A319" s="5"/>
      <c r="B319" s="2" t="s">
        <v>404</v>
      </c>
      <c r="C319" s="2">
        <v>54.0</v>
      </c>
      <c r="D319" s="3"/>
      <c r="E319" s="4" t="s">
        <v>33</v>
      </c>
      <c r="F319" s="3" t="str">
        <f>IFERROR(__xludf.DUMMYFUNCTION("GOOGLETRANSLATE(B319,""en"",""ar"")"),"حتى")</f>
        <v>حتى</v>
      </c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4.25" customHeight="1">
      <c r="A320" s="5"/>
      <c r="B320" s="2" t="s">
        <v>405</v>
      </c>
      <c r="C320" s="2">
        <v>53.0</v>
      </c>
      <c r="D320" s="3"/>
      <c r="E320" s="4" t="s">
        <v>406</v>
      </c>
      <c r="F320" s="3" t="str">
        <f>IFERROR(__xludf.DUMMYFUNCTION("GOOGLETRANSLATE(B320,""en"",""ar"")"),"رائد")</f>
        <v>رائد</v>
      </c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4.25" customHeight="1">
      <c r="A321" s="5"/>
      <c r="B321" s="2" t="s">
        <v>407</v>
      </c>
      <c r="C321" s="2">
        <v>53.0</v>
      </c>
      <c r="D321" s="3"/>
      <c r="E321" s="4" t="s">
        <v>129</v>
      </c>
      <c r="F321" s="3" t="str">
        <f>IFERROR(__xludf.DUMMYFUNCTION("GOOGLETRANSLATE(B321,""en"",""ar"")"),"اسم")</f>
        <v>اسم</v>
      </c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4.25" customHeight="1">
      <c r="A322" s="5"/>
      <c r="B322" s="2" t="s">
        <v>408</v>
      </c>
      <c r="C322" s="2">
        <v>53.0</v>
      </c>
      <c r="D322" s="3"/>
      <c r="E322" s="4" t="s">
        <v>236</v>
      </c>
      <c r="F322" s="3" t="str">
        <f>IFERROR(__xludf.DUMMYFUNCTION("GOOGLETRANSLATE(B322,""en"",""ar"")"),"شخصي")</f>
        <v>شخصي</v>
      </c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4.25" customHeight="1">
      <c r="A323" s="5"/>
      <c r="B323" s="2" t="s">
        <v>409</v>
      </c>
      <c r="C323" s="2">
        <v>53.0</v>
      </c>
      <c r="D323" s="3"/>
      <c r="E323" s="4" t="s">
        <v>120</v>
      </c>
      <c r="F323" s="3" t="str">
        <f>IFERROR(__xludf.DUMMYFUNCTION("GOOGLETRANSLATE(B323,""en"",""ar"")"),"المدرسة")</f>
        <v>المدرسة</v>
      </c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4.25" customHeight="1">
      <c r="A324" s="5"/>
      <c r="B324" s="2" t="s">
        <v>410</v>
      </c>
      <c r="C324" s="2">
        <v>53.0</v>
      </c>
      <c r="D324" s="3"/>
      <c r="E324" s="4" t="s">
        <v>84</v>
      </c>
      <c r="F324" s="3" t="str">
        <f>IFERROR(__xludf.DUMMYFUNCTION("GOOGLETRANSLATE(B324,""en"",""ar"")"),"أعلى")</f>
        <v>أعلى</v>
      </c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4.25" customHeight="1">
      <c r="A325" s="5"/>
      <c r="B325" s="2" t="s">
        <v>411</v>
      </c>
      <c r="C325" s="2">
        <v>52.0</v>
      </c>
      <c r="D325" s="3"/>
      <c r="E325" s="4" t="s">
        <v>236</v>
      </c>
      <c r="F325" s="3" t="str">
        <f>IFERROR(__xludf.DUMMYFUNCTION("GOOGLETRANSLATE(B325,""en"",""ar"")"),"تيار")</f>
        <v>تيار</v>
      </c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4.25" customHeight="1">
      <c r="A326" s="5"/>
      <c r="B326" s="2" t="s">
        <v>412</v>
      </c>
      <c r="C326" s="2">
        <v>52.0</v>
      </c>
      <c r="D326" s="3"/>
      <c r="E326" s="4" t="s">
        <v>43</v>
      </c>
      <c r="F326" s="3" t="str">
        <f>IFERROR(__xludf.DUMMYFUNCTION("GOOGLETRANSLATE(B326,""en"",""ar"")"),"عموما")</f>
        <v>عموما</v>
      </c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4.25" customHeight="1">
      <c r="A327" s="5"/>
      <c r="B327" s="2" t="s">
        <v>413</v>
      </c>
      <c r="C327" s="2">
        <v>52.0</v>
      </c>
      <c r="D327" s="3"/>
      <c r="E327" s="4" t="s">
        <v>113</v>
      </c>
      <c r="F327" s="3" t="str">
        <f>IFERROR(__xludf.DUMMYFUNCTION("GOOGLETRANSLATE(B327,""en"",""ar"")"),"تاريخي")</f>
        <v>تاريخي</v>
      </c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4.25" customHeight="1">
      <c r="A328" s="5"/>
      <c r="B328" s="2" t="s">
        <v>414</v>
      </c>
      <c r="C328" s="2">
        <v>52.0</v>
      </c>
      <c r="D328" s="3"/>
      <c r="E328" s="4" t="s">
        <v>80</v>
      </c>
      <c r="F328" s="3" t="str">
        <f>IFERROR(__xludf.DUMMYFUNCTION("GOOGLETRANSLATE(B328,""en"",""ar"")"),"استثمار")</f>
        <v>استثمار</v>
      </c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4.25" customHeight="1">
      <c r="A329" s="5"/>
      <c r="B329" s="2" t="s">
        <v>415</v>
      </c>
      <c r="C329" s="2">
        <v>52.0</v>
      </c>
      <c r="D329" s="3"/>
      <c r="E329" s="4" t="s">
        <v>51</v>
      </c>
      <c r="F329" s="3" t="str">
        <f>IFERROR(__xludf.DUMMYFUNCTION("GOOGLETRANSLATE(B329,""en"",""ar"")"),"اليسار")</f>
        <v>اليسار</v>
      </c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4.25" customHeight="1">
      <c r="A330" s="5"/>
      <c r="B330" s="2" t="s">
        <v>416</v>
      </c>
      <c r="C330" s="2">
        <v>52.0</v>
      </c>
      <c r="D330" s="3"/>
      <c r="E330" s="4" t="s">
        <v>236</v>
      </c>
      <c r="F330" s="3" t="str">
        <f>IFERROR(__xludf.DUMMYFUNCTION("GOOGLETRANSLATE(B330,""en"",""ar"")"),"الوطني")</f>
        <v>الوطني</v>
      </c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4.25" customHeight="1">
      <c r="A331" s="5"/>
      <c r="B331" s="2" t="s">
        <v>417</v>
      </c>
      <c r="C331" s="2">
        <v>51.0</v>
      </c>
      <c r="D331" s="3"/>
      <c r="E331" s="4" t="s">
        <v>120</v>
      </c>
      <c r="F331" s="3" t="str">
        <f>IFERROR(__xludf.DUMMYFUNCTION("GOOGLETRANSLATE(B331,""en"",""ar"")"),"مقدار")</f>
        <v>مقدار</v>
      </c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4.25" customHeight="1">
      <c r="A332" s="5"/>
      <c r="B332" s="2" t="s">
        <v>418</v>
      </c>
      <c r="C332" s="2">
        <v>51.0</v>
      </c>
      <c r="D332" s="3"/>
      <c r="E332" s="4" t="s">
        <v>84</v>
      </c>
      <c r="F332" s="3" t="str">
        <f>IFERROR(__xludf.DUMMYFUNCTION("GOOGLETRANSLATE(B332,""en"",""ar"")"),"مستوى")</f>
        <v>مستوى</v>
      </c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4.25" customHeight="1">
      <c r="A333" s="5"/>
      <c r="B333" s="2" t="s">
        <v>419</v>
      </c>
      <c r="C333" s="2">
        <v>51.0</v>
      </c>
      <c r="D333" s="3"/>
      <c r="E333" s="4" t="s">
        <v>120</v>
      </c>
      <c r="F333" s="3" t="str">
        <f>IFERROR(__xludf.DUMMYFUNCTION("GOOGLETRANSLATE(B333,""en"",""ar"")"),"ترتيب")</f>
        <v>ترتيب</v>
      </c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4.25" customHeight="1">
      <c r="A334" s="5"/>
      <c r="B334" s="2" t="s">
        <v>420</v>
      </c>
      <c r="C334" s="2">
        <v>51.0</v>
      </c>
      <c r="D334" s="3"/>
      <c r="E334" s="4" t="s">
        <v>120</v>
      </c>
      <c r="F334" s="3" t="str">
        <f>IFERROR(__xludf.DUMMYFUNCTION("GOOGLETRANSLATE(B334,""en"",""ar"")"),"ممارسة")</f>
        <v>ممارسة</v>
      </c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4.25" customHeight="1">
      <c r="A335" s="5"/>
      <c r="B335" s="2" t="s">
        <v>421</v>
      </c>
      <c r="C335" s="2">
        <v>51.0</v>
      </c>
      <c r="D335" s="3"/>
      <c r="E335" s="4" t="s">
        <v>120</v>
      </c>
      <c r="F335" s="3" t="str">
        <f>IFERROR(__xludf.DUMMYFUNCTION("GOOGLETRANSLATE(B335,""en"",""ar"")"),"ابحاث")</f>
        <v>ابحاث</v>
      </c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4.25" customHeight="1">
      <c r="A336" s="5"/>
      <c r="B336" s="2" t="s">
        <v>422</v>
      </c>
      <c r="C336" s="2">
        <v>51.0</v>
      </c>
      <c r="D336" s="3"/>
      <c r="E336" s="4" t="s">
        <v>120</v>
      </c>
      <c r="F336" s="3" t="str">
        <f>IFERROR(__xludf.DUMMYFUNCTION("GOOGLETRANSLATE(B336,""en"",""ar"")"),"حاسة")</f>
        <v>حاسة</v>
      </c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4.25" customHeight="1">
      <c r="A337" s="5"/>
      <c r="B337" s="2" t="s">
        <v>423</v>
      </c>
      <c r="C337" s="2">
        <v>51.0</v>
      </c>
      <c r="D337" s="3"/>
      <c r="E337" s="4" t="s">
        <v>120</v>
      </c>
      <c r="F337" s="3" t="str">
        <f>IFERROR(__xludf.DUMMYFUNCTION("GOOGLETRANSLATE(B337,""en"",""ar"")"),"الخدمات")</f>
        <v>الخدمات</v>
      </c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4.25" customHeight="1">
      <c r="A338" s="5"/>
      <c r="B338" s="2" t="s">
        <v>424</v>
      </c>
      <c r="C338" s="2">
        <v>50.0</v>
      </c>
      <c r="D338" s="3"/>
      <c r="E338" s="4" t="s">
        <v>80</v>
      </c>
      <c r="F338" s="3" t="str">
        <f>IFERROR(__xludf.DUMMYFUNCTION("GOOGLETRANSLATE(B338,""en"",""ar"")"),"منطقة")</f>
        <v>منطقة</v>
      </c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4.25" customHeight="1">
      <c r="A339" s="5"/>
      <c r="B339" s="2" t="s">
        <v>425</v>
      </c>
      <c r="C339" s="2">
        <v>50.0</v>
      </c>
      <c r="D339" s="3"/>
      <c r="E339" s="4" t="s">
        <v>95</v>
      </c>
      <c r="F339" s="3" t="str">
        <f>IFERROR(__xludf.DUMMYFUNCTION("GOOGLETRANSLATE(B339,""en"",""ar"")"),"يقطع")</f>
        <v>يقطع</v>
      </c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4.25" customHeight="1">
      <c r="A340" s="5"/>
      <c r="B340" s="2" t="s">
        <v>426</v>
      </c>
      <c r="C340" s="2">
        <v>50.0</v>
      </c>
      <c r="D340" s="3"/>
      <c r="E340" s="4" t="s">
        <v>113</v>
      </c>
      <c r="F340" s="3" t="str">
        <f>IFERROR(__xludf.DUMMYFUNCTION("GOOGLETRANSLATE(B340,""en"",""ar"")"),"الحار")</f>
        <v>الحار</v>
      </c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4.25" customHeight="1">
      <c r="A341" s="5"/>
      <c r="B341" s="2" t="s">
        <v>427</v>
      </c>
      <c r="C341" s="2">
        <v>50.0</v>
      </c>
      <c r="D341" s="3"/>
      <c r="E341" s="4" t="s">
        <v>43</v>
      </c>
      <c r="F341" s="3" t="str">
        <f>IFERROR(__xludf.DUMMYFUNCTION("GOOGLETRANSLATE(B341,""en"",""ar"")"),"في حين أن")</f>
        <v>في حين أن</v>
      </c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4.25" customHeight="1">
      <c r="A342" s="5"/>
      <c r="B342" s="2" t="s">
        <v>428</v>
      </c>
      <c r="C342" s="2">
        <v>50.0</v>
      </c>
      <c r="D342" s="3"/>
      <c r="E342" s="4" t="s">
        <v>51</v>
      </c>
      <c r="F342" s="3" t="str">
        <f>IFERROR(__xludf.DUMMYFUNCTION("GOOGLETRANSLATE(B342,""en"",""ar"")"),"الأقل")</f>
        <v>الأقل</v>
      </c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4.25" customHeight="1">
      <c r="A343" s="5"/>
      <c r="B343" s="2" t="s">
        <v>429</v>
      </c>
      <c r="C343" s="2">
        <v>50.0</v>
      </c>
      <c r="D343" s="3"/>
      <c r="E343" s="4" t="s">
        <v>78</v>
      </c>
      <c r="F343" s="3" t="str">
        <f>IFERROR(__xludf.DUMMYFUNCTION("GOOGLETRANSLATE(B343,""en"",""ar"")"),"طبيعي")</f>
        <v>طبيعي</v>
      </c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4.25" customHeight="1">
      <c r="A344" s="5"/>
      <c r="B344" s="2" t="s">
        <v>430</v>
      </c>
      <c r="C344" s="2">
        <v>50.0</v>
      </c>
      <c r="D344" s="3"/>
      <c r="E344" s="4" t="s">
        <v>236</v>
      </c>
      <c r="F344" s="3" t="str">
        <f>IFERROR(__xludf.DUMMYFUNCTION("GOOGLETRANSLATE(B344,""en"",""ar"")"),"بدني")</f>
        <v>بدني</v>
      </c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4.25" customHeight="1">
      <c r="A345" s="5"/>
      <c r="B345" s="2" t="s">
        <v>431</v>
      </c>
      <c r="C345" s="2">
        <v>50.0</v>
      </c>
      <c r="D345" s="3"/>
      <c r="E345" s="4" t="s">
        <v>120</v>
      </c>
      <c r="F345" s="3" t="str">
        <f>IFERROR(__xludf.DUMMYFUNCTION("GOOGLETRANSLATE(B345,""en"",""ar"")"),"قطعة")</f>
        <v>قطعة</v>
      </c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4.25" customHeight="1">
      <c r="A346" s="5"/>
      <c r="B346" s="2" t="s">
        <v>432</v>
      </c>
      <c r="C346" s="2">
        <v>50.0</v>
      </c>
      <c r="D346" s="3"/>
      <c r="E346" s="4" t="s">
        <v>95</v>
      </c>
      <c r="F346" s="3" t="str">
        <f>IFERROR(__xludf.DUMMYFUNCTION("GOOGLETRANSLATE(B346,""en"",""ar"")"),"تبين")</f>
        <v>تبين</v>
      </c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4.25" customHeight="1">
      <c r="A347" s="5"/>
      <c r="B347" s="2" t="s">
        <v>433</v>
      </c>
      <c r="C347" s="2">
        <v>50.0</v>
      </c>
      <c r="D347" s="3"/>
      <c r="E347" s="4" t="s">
        <v>80</v>
      </c>
      <c r="F347" s="3" t="str">
        <f>IFERROR(__xludf.DUMMYFUNCTION("GOOGLETRANSLATE(B347,""en"",""ar"")"),"المجتمع")</f>
        <v>المجتمع</v>
      </c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4.25" customHeight="1">
      <c r="A348" s="5"/>
      <c r="B348" s="2" t="s">
        <v>434</v>
      </c>
      <c r="C348" s="2">
        <v>50.0</v>
      </c>
      <c r="D348" s="3"/>
      <c r="E348" s="4" t="s">
        <v>95</v>
      </c>
      <c r="F348" s="3" t="str">
        <f>IFERROR(__xludf.DUMMYFUNCTION("GOOGLETRANSLATE(B348,""en"",""ar"")"),"محاولة")</f>
        <v>محاولة</v>
      </c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4.25" customHeight="1">
      <c r="A349" s="5"/>
      <c r="B349" s="2" t="s">
        <v>435</v>
      </c>
      <c r="C349" s="2">
        <v>49.0</v>
      </c>
      <c r="D349" s="3"/>
      <c r="E349" s="4" t="s">
        <v>171</v>
      </c>
      <c r="F349" s="3" t="str">
        <f>IFERROR(__xludf.DUMMYFUNCTION("GOOGLETRANSLATE(B349,""en"",""ar"")"),"التحقق من")</f>
        <v>التحقق من</v>
      </c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4.25" customHeight="1">
      <c r="A350" s="5"/>
      <c r="B350" s="2" t="s">
        <v>436</v>
      </c>
      <c r="C350" s="2">
        <v>49.0</v>
      </c>
      <c r="D350" s="3"/>
      <c r="E350" s="4" t="s">
        <v>13</v>
      </c>
      <c r="F350" s="3" t="str">
        <f>IFERROR(__xludf.DUMMYFUNCTION("GOOGLETRANSLATE(B350,""en"",""ar"")"),"يختار")</f>
        <v>يختار</v>
      </c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4.25" customHeight="1">
      <c r="A351" s="5"/>
      <c r="B351" s="2" t="s">
        <v>437</v>
      </c>
      <c r="C351" s="2">
        <v>49.0</v>
      </c>
      <c r="D351" s="3"/>
      <c r="E351" s="4" t="s">
        <v>13</v>
      </c>
      <c r="F351" s="3" t="str">
        <f>IFERROR(__xludf.DUMMYFUNCTION("GOOGLETRANSLATE(B351,""en"",""ar"")"),"طور")</f>
        <v>طور</v>
      </c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4.25" customHeight="1">
      <c r="A352" s="5"/>
      <c r="B352" s="2" t="s">
        <v>438</v>
      </c>
      <c r="C352" s="2">
        <v>49.0</v>
      </c>
      <c r="D352" s="3"/>
      <c r="E352" s="4" t="s">
        <v>439</v>
      </c>
      <c r="F352" s="3" t="str">
        <f>IFERROR(__xludf.DUMMYFUNCTION("GOOGLETRANSLATE(B352,""en"",""ar"")"),"ثانيا")</f>
        <v>ثانيا</v>
      </c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4.25" customHeight="1">
      <c r="A353" s="5"/>
      <c r="B353" s="2" t="s">
        <v>440</v>
      </c>
      <c r="C353" s="2">
        <v>49.0</v>
      </c>
      <c r="D353" s="3"/>
      <c r="E353" s="4" t="s">
        <v>113</v>
      </c>
      <c r="F353" s="3" t="str">
        <f>IFERROR(__xludf.DUMMYFUNCTION("GOOGLETRANSLATE(B353,""en"",""ar"")"),"مفيد")</f>
        <v>مفيد</v>
      </c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4.25" customHeight="1">
      <c r="A354" s="5"/>
      <c r="B354" s="2" t="s">
        <v>441</v>
      </c>
      <c r="C354" s="2">
        <v>49.0</v>
      </c>
      <c r="D354" s="3"/>
      <c r="E354" s="4" t="s">
        <v>120</v>
      </c>
      <c r="F354" s="3" t="str">
        <f>IFERROR(__xludf.DUMMYFUNCTION("GOOGLETRANSLATE(B354,""en"",""ar"")"),"الويب")</f>
        <v>الويب</v>
      </c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4.25" customHeight="1">
      <c r="A355" s="5"/>
      <c r="B355" s="2" t="s">
        <v>442</v>
      </c>
      <c r="C355" s="2">
        <v>48.0</v>
      </c>
      <c r="D355" s="3"/>
      <c r="E355" s="4" t="s">
        <v>80</v>
      </c>
      <c r="F355" s="3" t="str">
        <f>IFERROR(__xludf.DUMMYFUNCTION("GOOGLETRANSLATE(B355,""en"",""ar"")"),"نشاط")</f>
        <v>نشاط</v>
      </c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4.25" customHeight="1">
      <c r="A356" s="5"/>
      <c r="B356" s="2" t="s">
        <v>443</v>
      </c>
      <c r="C356" s="2">
        <v>48.0</v>
      </c>
      <c r="D356" s="3"/>
      <c r="E356" s="4" t="s">
        <v>129</v>
      </c>
      <c r="F356" s="3" t="str">
        <f>IFERROR(__xludf.DUMMYFUNCTION("GOOGLETRANSLATE(B356,""en"",""ar"")"),"رئيس")</f>
        <v>رئيس</v>
      </c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4.25" customHeight="1">
      <c r="A357" s="5"/>
      <c r="B357" s="2" t="s">
        <v>444</v>
      </c>
      <c r="C357" s="2">
        <v>48.0</v>
      </c>
      <c r="D357" s="3"/>
      <c r="E357" s="4" t="s">
        <v>206</v>
      </c>
      <c r="F357" s="3" t="str">
        <f>IFERROR(__xludf.DUMMYFUNCTION("GOOGLETRANSLATE(B357,""en"",""ar"")"),"قصيرة")</f>
        <v>قصيرة</v>
      </c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4.25" customHeight="1">
      <c r="A358" s="5"/>
      <c r="B358" s="2" t="s">
        <v>445</v>
      </c>
      <c r="C358" s="2">
        <v>48.0</v>
      </c>
      <c r="D358" s="3"/>
      <c r="E358" s="4" t="s">
        <v>80</v>
      </c>
      <c r="F358" s="3" t="str">
        <f>IFERROR(__xludf.DUMMYFUNCTION("GOOGLETRANSLATE(B358,""en"",""ar"")"),"قصة")</f>
        <v>قصة</v>
      </c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4.25" customHeight="1">
      <c r="A359" s="5"/>
      <c r="B359" s="2" t="s">
        <v>446</v>
      </c>
      <c r="C359" s="2">
        <v>47.0</v>
      </c>
      <c r="D359" s="3"/>
      <c r="E359" s="4" t="s">
        <v>95</v>
      </c>
      <c r="F359" s="3" t="str">
        <f>IFERROR(__xludf.DUMMYFUNCTION("GOOGLETRANSLATE(B359,""en"",""ar"")"),"مكالمة")</f>
        <v>مكالمة</v>
      </c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4.25" customHeight="1">
      <c r="A360" s="5"/>
      <c r="B360" s="2" t="s">
        <v>447</v>
      </c>
      <c r="C360" s="2">
        <v>47.0</v>
      </c>
      <c r="D360" s="3"/>
      <c r="E360" s="4" t="s">
        <v>80</v>
      </c>
      <c r="F360" s="3" t="str">
        <f>IFERROR(__xludf.DUMMYFUNCTION("GOOGLETRANSLATE(B360,""en"",""ar"")"),"صناعة")</f>
        <v>صناعة</v>
      </c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4.25" customHeight="1">
      <c r="A361" s="5"/>
      <c r="B361" s="2" t="s">
        <v>448</v>
      </c>
      <c r="C361" s="2">
        <v>47.0</v>
      </c>
      <c r="D361" s="3"/>
      <c r="E361" s="4" t="s">
        <v>206</v>
      </c>
      <c r="F361" s="3" t="str">
        <f>IFERROR(__xludf.DUMMYFUNCTION("GOOGLETRANSLATE(B361,""en"",""ar"")"),"الاخير")</f>
        <v>الاخير</v>
      </c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4.25" customHeight="1">
      <c r="A362" s="5"/>
      <c r="B362" s="2" t="s">
        <v>449</v>
      </c>
      <c r="C362" s="2">
        <v>47.0</v>
      </c>
      <c r="D362" s="3"/>
      <c r="E362" s="4" t="s">
        <v>80</v>
      </c>
      <c r="F362" s="3" t="str">
        <f>IFERROR(__xludf.DUMMYFUNCTION("GOOGLETRANSLATE(B362,""en"",""ar"")"),"وسائل الإعلام")</f>
        <v>وسائل الإعلام</v>
      </c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4.25" customHeight="1">
      <c r="A363" s="5"/>
      <c r="B363" s="2" t="s">
        <v>450</v>
      </c>
      <c r="C363" s="2">
        <v>47.0</v>
      </c>
      <c r="D363" s="3"/>
      <c r="E363" s="4" t="s">
        <v>113</v>
      </c>
      <c r="F363" s="3" t="str">
        <f>IFERROR(__xludf.DUMMYFUNCTION("GOOGLETRANSLATE(B363,""en"",""ar"")"),"عقلي")</f>
        <v>عقلي</v>
      </c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4.25" customHeight="1">
      <c r="A364" s="5"/>
      <c r="B364" s="2" t="s">
        <v>451</v>
      </c>
      <c r="C364" s="2">
        <v>47.0</v>
      </c>
      <c r="D364" s="3"/>
      <c r="E364" s="4" t="s">
        <v>95</v>
      </c>
      <c r="F364" s="3" t="str">
        <f>IFERROR(__xludf.DUMMYFUNCTION("GOOGLETRANSLATE(B364,""en"",""ar"")"),"يتحرك")</f>
        <v>يتحرك</v>
      </c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4.25" customHeight="1">
      <c r="A365" s="5"/>
      <c r="B365" s="2" t="s">
        <v>452</v>
      </c>
      <c r="C365" s="2">
        <v>47.0</v>
      </c>
      <c r="D365" s="3"/>
      <c r="E365" s="4" t="s">
        <v>95</v>
      </c>
      <c r="F365" s="3" t="str">
        <f>IFERROR(__xludf.DUMMYFUNCTION("GOOGLETRANSLATE(B365,""en"",""ar"")"),"يدفع")</f>
        <v>يدفع</v>
      </c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4.25" customHeight="1">
      <c r="A366" s="5"/>
      <c r="B366" s="2" t="s">
        <v>453</v>
      </c>
      <c r="C366" s="2">
        <v>47.0</v>
      </c>
      <c r="D366" s="3"/>
      <c r="E366" s="4" t="s">
        <v>120</v>
      </c>
      <c r="F366" s="3" t="str">
        <f>IFERROR(__xludf.DUMMYFUNCTION("GOOGLETRANSLATE(B366,""en"",""ar"")"),"رياضة")</f>
        <v>رياضة</v>
      </c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4.25" customHeight="1">
      <c r="A367" s="5"/>
      <c r="B367" s="2" t="s">
        <v>454</v>
      </c>
      <c r="C367" s="2">
        <v>47.0</v>
      </c>
      <c r="D367" s="3"/>
      <c r="E367" s="4" t="s">
        <v>80</v>
      </c>
      <c r="F367" s="3" t="str">
        <f>IFERROR(__xludf.DUMMYFUNCTION("GOOGLETRANSLATE(B367,""en"",""ar"")"),"شيء")</f>
        <v>شيء</v>
      </c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4.25" customHeight="1">
      <c r="A368" s="5"/>
      <c r="B368" s="2" t="s">
        <v>455</v>
      </c>
      <c r="C368" s="2">
        <v>46.0</v>
      </c>
      <c r="D368" s="3"/>
      <c r="E368" s="4" t="s">
        <v>43</v>
      </c>
      <c r="F368" s="3" t="str">
        <f>IFERROR(__xludf.DUMMYFUNCTION("GOOGLETRANSLATE(B368,""en"",""ar"")"),"في الحقيقة")</f>
        <v>في الحقيقة</v>
      </c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4.25" customHeight="1">
      <c r="A369" s="5"/>
      <c r="B369" s="2" t="s">
        <v>456</v>
      </c>
      <c r="C369" s="2">
        <v>46.0</v>
      </c>
      <c r="D369" s="3"/>
      <c r="E369" s="4" t="s">
        <v>33</v>
      </c>
      <c r="F369" s="3" t="str">
        <f>IFERROR(__xludf.DUMMYFUNCTION("GOOGLETRANSLATE(B369,""en"",""ar"")"),"ضد")</f>
        <v>ضد</v>
      </c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4.25" customHeight="1">
      <c r="A370" s="5"/>
      <c r="B370" s="2" t="s">
        <v>457</v>
      </c>
      <c r="C370" s="2">
        <v>46.0</v>
      </c>
      <c r="D370" s="3"/>
      <c r="E370" s="4" t="s">
        <v>144</v>
      </c>
      <c r="F370" s="3" t="str">
        <f>IFERROR(__xludf.DUMMYFUNCTION("GOOGLETRANSLATE(B370,""en"",""ar"")"),"بعيد")</f>
        <v>بعيد</v>
      </c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4.25" customHeight="1">
      <c r="A371" s="5"/>
      <c r="B371" s="2" t="s">
        <v>458</v>
      </c>
      <c r="C371" s="2">
        <v>46.0</v>
      </c>
      <c r="D371" s="3"/>
      <c r="E371" s="4" t="s">
        <v>84</v>
      </c>
      <c r="F371" s="3" t="str">
        <f>IFERROR(__xludf.DUMMYFUNCTION("GOOGLETRANSLATE(B371,""en"",""ar"")"),"مرح")</f>
        <v>مرح</v>
      </c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4.25" customHeight="1">
      <c r="A372" s="5"/>
      <c r="B372" s="2" t="s">
        <v>459</v>
      </c>
      <c r="C372" s="2">
        <v>46.0</v>
      </c>
      <c r="D372" s="3"/>
      <c r="E372" s="4" t="s">
        <v>84</v>
      </c>
      <c r="F372" s="3" t="str">
        <f>IFERROR(__xludf.DUMMYFUNCTION("GOOGLETRANSLATE(B372,""en"",""ar"")"),"بيت")</f>
        <v>بيت</v>
      </c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4.25" customHeight="1">
      <c r="A373" s="5"/>
      <c r="B373" s="2" t="s">
        <v>460</v>
      </c>
      <c r="C373" s="2">
        <v>46.0</v>
      </c>
      <c r="D373" s="3"/>
      <c r="E373" s="4" t="s">
        <v>95</v>
      </c>
      <c r="F373" s="3" t="str">
        <f>IFERROR(__xludf.DUMMYFUNCTION("GOOGLETRANSLATE(B373,""en"",""ar"")"),"يترك")</f>
        <v>يترك</v>
      </c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4.25" customHeight="1">
      <c r="A374" s="5"/>
      <c r="B374" s="2" t="s">
        <v>461</v>
      </c>
      <c r="C374" s="2">
        <v>46.0</v>
      </c>
      <c r="D374" s="3"/>
      <c r="E374" s="4" t="s">
        <v>120</v>
      </c>
      <c r="F374" s="3" t="str">
        <f>IFERROR(__xludf.DUMMYFUNCTION("GOOGLETRANSLATE(B374,""en"",""ar"")"),"صفحة")</f>
        <v>صفحة</v>
      </c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4.25" customHeight="1">
      <c r="A375" s="5"/>
      <c r="B375" s="2" t="s">
        <v>462</v>
      </c>
      <c r="C375" s="2">
        <v>46.0</v>
      </c>
      <c r="D375" s="3"/>
      <c r="E375" s="4" t="s">
        <v>13</v>
      </c>
      <c r="F375" s="3" t="str">
        <f>IFERROR(__xludf.DUMMYFUNCTION("GOOGLETRANSLATE(B375,""en"",""ar"")"),"تذكر")</f>
        <v>تذكر</v>
      </c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4.25" customHeight="1">
      <c r="A376" s="5"/>
      <c r="B376" s="2" t="s">
        <v>463</v>
      </c>
      <c r="C376" s="2">
        <v>46.0</v>
      </c>
      <c r="D376" s="3"/>
      <c r="E376" s="4" t="s">
        <v>120</v>
      </c>
      <c r="F376" s="3" t="str">
        <f>IFERROR(__xludf.DUMMYFUNCTION("GOOGLETRANSLATE(B376,""en"",""ar"")"),"مصطلح")</f>
        <v>مصطلح</v>
      </c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4.25" customHeight="1">
      <c r="A377" s="5"/>
      <c r="B377" s="2" t="s">
        <v>464</v>
      </c>
      <c r="C377" s="2">
        <v>46.0</v>
      </c>
      <c r="D377" s="3"/>
      <c r="E377" s="4" t="s">
        <v>120</v>
      </c>
      <c r="F377" s="3" t="str">
        <f>IFERROR(__xludf.DUMMYFUNCTION("GOOGLETRANSLATE(B377,""en"",""ar"")"),"اختبار")</f>
        <v>اختبار</v>
      </c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4.25" customHeight="1">
      <c r="A378" s="5"/>
      <c r="B378" s="2" t="s">
        <v>465</v>
      </c>
      <c r="C378" s="2">
        <v>46.0</v>
      </c>
      <c r="D378" s="3"/>
      <c r="E378" s="4" t="s">
        <v>8</v>
      </c>
      <c r="F378" s="3" t="str">
        <f>IFERROR(__xludf.DUMMYFUNCTION("GOOGLETRANSLATE(B378,""en"",""ar"")"),"داخل")</f>
        <v>داخل</v>
      </c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4.25" customHeight="1">
      <c r="A379" s="5"/>
      <c r="B379" s="2" t="s">
        <v>466</v>
      </c>
      <c r="C379" s="2">
        <v>45.0</v>
      </c>
      <c r="D379" s="3"/>
      <c r="E379" s="4" t="s">
        <v>8</v>
      </c>
      <c r="F379" s="3" t="str">
        <f>IFERROR(__xludf.DUMMYFUNCTION("GOOGLETRANSLATE(B379,""en"",""ar"")"),"على طول")</f>
        <v>على طول</v>
      </c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4.25" customHeight="1">
      <c r="A380" s="5"/>
      <c r="B380" s="2" t="s">
        <v>467</v>
      </c>
      <c r="C380" s="2">
        <v>45.0</v>
      </c>
      <c r="D380" s="3"/>
      <c r="E380" s="4" t="s">
        <v>120</v>
      </c>
      <c r="F380" s="3" t="str">
        <f>IFERROR(__xludf.DUMMYFUNCTION("GOOGLETRANSLATE(B380,""en"",""ar"")"),"إجابه")</f>
        <v>إجابه</v>
      </c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4.25" customHeight="1">
      <c r="A381" s="5"/>
      <c r="B381" s="2" t="s">
        <v>468</v>
      </c>
      <c r="C381" s="2">
        <v>45.0</v>
      </c>
      <c r="D381" s="3"/>
      <c r="E381" s="4" t="s">
        <v>95</v>
      </c>
      <c r="F381" s="3" t="str">
        <f>IFERROR(__xludf.DUMMYFUNCTION("GOOGLETRANSLATE(B381,""en"",""ar"")"),"زيادة")</f>
        <v>زيادة</v>
      </c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4.25" customHeight="1">
      <c r="A382" s="5"/>
      <c r="B382" s="2" t="s">
        <v>469</v>
      </c>
      <c r="C382" s="2">
        <v>45.0</v>
      </c>
      <c r="D382" s="3"/>
      <c r="E382" s="4" t="s">
        <v>80</v>
      </c>
      <c r="F382" s="3" t="str">
        <f>IFERROR(__xludf.DUMMYFUNCTION("GOOGLETRANSLATE(B382,""en"",""ar"")"),"فرن")</f>
        <v>فرن</v>
      </c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4.25" customHeight="1">
      <c r="A383" s="5"/>
      <c r="B383" s="2" t="s">
        <v>470</v>
      </c>
      <c r="C383" s="2">
        <v>45.0</v>
      </c>
      <c r="D383" s="3"/>
      <c r="E383" s="4" t="s">
        <v>307</v>
      </c>
      <c r="F383" s="3" t="str">
        <f>IFERROR(__xludf.DUMMYFUNCTION("GOOGLETRANSLATE(B383,""en"",""ar"")"),"الى حد كبير")</f>
        <v>الى حد كبير</v>
      </c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4.25" customHeight="1">
      <c r="A384" s="5"/>
      <c r="B384" s="2" t="s">
        <v>471</v>
      </c>
      <c r="C384" s="2">
        <v>45.0</v>
      </c>
      <c r="D384" s="3"/>
      <c r="E384" s="4" t="s">
        <v>113</v>
      </c>
      <c r="F384" s="3" t="str">
        <f>IFERROR(__xludf.DUMMYFUNCTION("GOOGLETRANSLATE(B384,""en"",""ar"")"),"مفزوع")</f>
        <v>مفزوع</v>
      </c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4.25" customHeight="1">
      <c r="A385" s="5"/>
      <c r="B385" s="2" t="s">
        <v>472</v>
      </c>
      <c r="C385" s="2">
        <v>45.0</v>
      </c>
      <c r="D385" s="3"/>
      <c r="E385" s="4" t="s">
        <v>406</v>
      </c>
      <c r="F385" s="3" t="str">
        <f>IFERROR(__xludf.DUMMYFUNCTION("GOOGLETRANSLATE(B385,""en"",""ar"")"),"غير مرتبطة")</f>
        <v>غير مرتبطة</v>
      </c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4.25" customHeight="1">
      <c r="A386" s="5"/>
      <c r="B386" s="2" t="s">
        <v>473</v>
      </c>
      <c r="C386" s="2">
        <v>45.0</v>
      </c>
      <c r="D386" s="3"/>
      <c r="E386" s="4" t="s">
        <v>129</v>
      </c>
      <c r="F386" s="3" t="str">
        <f>IFERROR(__xludf.DUMMYFUNCTION("GOOGLETRANSLATE(B386,""en"",""ar"")"),"يبدو")</f>
        <v>يبدو</v>
      </c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4.25" customHeight="1">
      <c r="A387" s="5"/>
      <c r="B387" s="2" t="s">
        <v>474</v>
      </c>
      <c r="C387" s="2">
        <v>44.0</v>
      </c>
      <c r="D387" s="3"/>
      <c r="E387" s="4" t="s">
        <v>43</v>
      </c>
      <c r="F387" s="3" t="str">
        <f>IFERROR(__xludf.DUMMYFUNCTION("GOOGLETRANSLATE(B387,""en"",""ar"")"),"تكرارا")</f>
        <v>تكرارا</v>
      </c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4.25" customHeight="1">
      <c r="A388" s="5"/>
      <c r="B388" s="2" t="s">
        <v>475</v>
      </c>
      <c r="C388" s="2">
        <v>44.0</v>
      </c>
      <c r="D388" s="3"/>
      <c r="E388" s="4" t="s">
        <v>80</v>
      </c>
      <c r="F388" s="3" t="str">
        <f>IFERROR(__xludf.DUMMYFUNCTION("GOOGLETRANSLATE(B388,""en"",""ar"")"),"تواصل اجتماعي")</f>
        <v>تواصل اجتماعي</v>
      </c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4.25" customHeight="1">
      <c r="A389" s="5"/>
      <c r="B389" s="2" t="s">
        <v>476</v>
      </c>
      <c r="C389" s="2">
        <v>44.0</v>
      </c>
      <c r="D389" s="3"/>
      <c r="E389" s="4" t="s">
        <v>80</v>
      </c>
      <c r="F389" s="3" t="str">
        <f>IFERROR(__xludf.DUMMYFUNCTION("GOOGLETRANSLATE(B389,""en"",""ar"")"),"تعريف")</f>
        <v>تعريف</v>
      </c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4.25" customHeight="1">
      <c r="A390" s="5"/>
      <c r="B390" s="2" t="s">
        <v>477</v>
      </c>
      <c r="C390" s="2">
        <v>44.0</v>
      </c>
      <c r="D390" s="3"/>
      <c r="E390" s="4" t="s">
        <v>120</v>
      </c>
      <c r="F390" s="3" t="str">
        <f>IFERROR(__xludf.DUMMYFUNCTION("GOOGLETRANSLATE(B390,""en"",""ar"")"),"التركيز")</f>
        <v>التركيز</v>
      </c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4.25" customHeight="1">
      <c r="A391" s="5"/>
      <c r="B391" s="2" t="s">
        <v>478</v>
      </c>
      <c r="C391" s="2">
        <v>44.0</v>
      </c>
      <c r="D391" s="3"/>
      <c r="E391" s="4" t="s">
        <v>236</v>
      </c>
      <c r="F391" s="3" t="str">
        <f>IFERROR(__xludf.DUMMYFUNCTION("GOOGLETRANSLATE(B391,""en"",""ar"")"),"فرد")</f>
        <v>فرد</v>
      </c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4.25" customHeight="1">
      <c r="A392" s="5"/>
      <c r="B392" s="2" t="s">
        <v>479</v>
      </c>
      <c r="C392" s="2">
        <v>44.0</v>
      </c>
      <c r="D392" s="3"/>
      <c r="E392" s="4" t="s">
        <v>120</v>
      </c>
      <c r="F392" s="3" t="str">
        <f>IFERROR(__xludf.DUMMYFUNCTION("GOOGLETRANSLATE(B392,""en"",""ar"")"),"قضيه")</f>
        <v>قضيه</v>
      </c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4.25" customHeight="1">
      <c r="A393" s="5"/>
      <c r="B393" s="2" t="s">
        <v>480</v>
      </c>
      <c r="C393" s="2">
        <v>44.0</v>
      </c>
      <c r="D393" s="3"/>
      <c r="E393" s="4" t="s">
        <v>80</v>
      </c>
      <c r="F393" s="3" t="str">
        <f>IFERROR(__xludf.DUMMYFUNCTION("GOOGLETRANSLATE(B393,""en"",""ar"")"),"سلامة")</f>
        <v>سلامة</v>
      </c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4.25" customHeight="1">
      <c r="A394" s="5"/>
      <c r="B394" s="2" t="s">
        <v>481</v>
      </c>
      <c r="C394" s="2">
        <v>44.0</v>
      </c>
      <c r="D394" s="3"/>
      <c r="E394" s="4" t="s">
        <v>95</v>
      </c>
      <c r="F394" s="3" t="str">
        <f>IFERROR(__xludf.DUMMYFUNCTION("GOOGLETRANSLATE(B394,""en"",""ar"")"),"منعطف أو دور")</f>
        <v>منعطف أو دور</v>
      </c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4.25" customHeight="1">
      <c r="A395" s="5"/>
      <c r="B395" s="2" t="s">
        <v>482</v>
      </c>
      <c r="C395" s="2">
        <v>43.0</v>
      </c>
      <c r="D395" s="3"/>
      <c r="E395" s="4" t="s">
        <v>31</v>
      </c>
      <c r="F395" s="3" t="str">
        <f>IFERROR(__xludf.DUMMYFUNCTION("GOOGLETRANSLATE(B395,""en"",""ar"")"),"كل شىء")</f>
        <v>كل شىء</v>
      </c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4.25" customHeight="1">
      <c r="A396" s="5"/>
      <c r="B396" s="2" t="s">
        <v>483</v>
      </c>
      <c r="C396" s="2">
        <v>43.0</v>
      </c>
      <c r="D396" s="3"/>
      <c r="E396" s="4" t="s">
        <v>149</v>
      </c>
      <c r="F396" s="3" t="str">
        <f>IFERROR(__xludf.DUMMYFUNCTION("GOOGLETRANSLATE(B396,""en"",""ar"")"),"طيب القلب")</f>
        <v>طيب القلب</v>
      </c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4.25" customHeight="1">
      <c r="A397" s="5"/>
      <c r="B397" s="2" t="s">
        <v>484</v>
      </c>
      <c r="C397" s="2">
        <v>43.0</v>
      </c>
      <c r="D397" s="3"/>
      <c r="E397" s="4" t="s">
        <v>80</v>
      </c>
      <c r="F397" s="3" t="str">
        <f>IFERROR(__xludf.DUMMYFUNCTION("GOOGLETRANSLATE(B397,""en"",""ar"")"),"جودة")</f>
        <v>جودة</v>
      </c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4.25" customHeight="1">
      <c r="A398" s="5"/>
      <c r="B398" s="2" t="s">
        <v>485</v>
      </c>
      <c r="C398" s="2">
        <v>43.0</v>
      </c>
      <c r="D398" s="3"/>
      <c r="E398" s="4" t="s">
        <v>120</v>
      </c>
      <c r="F398" s="3" t="str">
        <f>IFERROR(__xludf.DUMMYFUNCTION("GOOGLETRANSLATE(B398,""en"",""ar"")"),"تربة")</f>
        <v>تربة</v>
      </c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4.25" customHeight="1">
      <c r="A399" s="5"/>
      <c r="B399" s="2" t="s">
        <v>486</v>
      </c>
      <c r="C399" s="2">
        <v>42.0</v>
      </c>
      <c r="D399" s="3"/>
      <c r="E399" s="4" t="s">
        <v>95</v>
      </c>
      <c r="F399" s="3" t="str">
        <f>IFERROR(__xludf.DUMMYFUNCTION("GOOGLETRANSLATE(B399,""en"",""ar"")"),"يطلب")</f>
        <v>يطلب</v>
      </c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4.25" customHeight="1">
      <c r="A400" s="5"/>
      <c r="B400" s="2" t="s">
        <v>487</v>
      </c>
      <c r="C400" s="2">
        <v>42.0</v>
      </c>
      <c r="D400" s="3"/>
      <c r="E400" s="4" t="s">
        <v>120</v>
      </c>
      <c r="F400" s="3" t="str">
        <f>IFERROR(__xludf.DUMMYFUNCTION("GOOGLETRANSLATE(B400,""en"",""ar"")"),"مجلس")</f>
        <v>مجلس</v>
      </c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4.25" customHeight="1">
      <c r="A401" s="5"/>
      <c r="B401" s="2" t="s">
        <v>488</v>
      </c>
      <c r="C401" s="2">
        <v>42.0</v>
      </c>
      <c r="D401" s="3"/>
      <c r="E401" s="4" t="s">
        <v>95</v>
      </c>
      <c r="F401" s="3" t="str">
        <f>IFERROR(__xludf.DUMMYFUNCTION("GOOGLETRANSLATE(B401,""en"",""ar"")"),"يشترى")</f>
        <v>يشترى</v>
      </c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4.25" customHeight="1">
      <c r="A402" s="5"/>
      <c r="B402" s="2" t="s">
        <v>489</v>
      </c>
      <c r="C402" s="2">
        <v>42.0</v>
      </c>
      <c r="D402" s="3"/>
      <c r="E402" s="4" t="s">
        <v>80</v>
      </c>
      <c r="F402" s="3" t="str">
        <f>IFERROR(__xludf.DUMMYFUNCTION("GOOGLETRANSLATE(B402,""en"",""ar"")"),"تطوير")</f>
        <v>تطوير</v>
      </c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4.25" customHeight="1">
      <c r="A403" s="5"/>
      <c r="B403" s="2" t="s">
        <v>490</v>
      </c>
      <c r="C403" s="2">
        <v>42.0</v>
      </c>
      <c r="D403" s="3"/>
      <c r="E403" s="4" t="s">
        <v>95</v>
      </c>
      <c r="F403" s="3" t="str">
        <f>IFERROR(__xludf.DUMMYFUNCTION("GOOGLETRANSLATE(B403,""en"",""ar"")"),"يحمي")</f>
        <v>يحمي</v>
      </c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4.25" customHeight="1">
      <c r="A404" s="5"/>
      <c r="B404" s="2" t="s">
        <v>491</v>
      </c>
      <c r="C404" s="2">
        <v>42.0</v>
      </c>
      <c r="D404" s="3"/>
      <c r="E404" s="4" t="s">
        <v>95</v>
      </c>
      <c r="F404" s="3" t="str">
        <f>IFERROR(__xludf.DUMMYFUNCTION("GOOGLETRANSLATE(B404,""en"",""ar"")"),"يمسك")</f>
        <v>يمسك</v>
      </c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4.25" customHeight="1">
      <c r="A405" s="5"/>
      <c r="B405" s="2" t="s">
        <v>492</v>
      </c>
      <c r="C405" s="2">
        <v>42.0</v>
      </c>
      <c r="D405" s="3"/>
      <c r="E405" s="4" t="s">
        <v>80</v>
      </c>
      <c r="F405" s="3" t="str">
        <f>IFERROR(__xludf.DUMMYFUNCTION("GOOGLETRANSLATE(B405,""en"",""ar"")"),"لغة")</f>
        <v>لغة</v>
      </c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4.25" customHeight="1">
      <c r="A406" s="5"/>
      <c r="B406" s="2" t="s">
        <v>493</v>
      </c>
      <c r="C406" s="2">
        <v>42.0</v>
      </c>
      <c r="D406" s="3"/>
      <c r="E406" s="4" t="s">
        <v>307</v>
      </c>
      <c r="F406" s="3" t="str">
        <f>IFERROR(__xludf.DUMMYFUNCTION("GOOGLETRANSLATE(B406,""en"",""ar"")"),"في وقت لاحق")</f>
        <v>في وقت لاحق</v>
      </c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4.25" customHeight="1">
      <c r="A407" s="5"/>
      <c r="B407" s="2" t="s">
        <v>494</v>
      </c>
      <c r="C407" s="2">
        <v>42.0</v>
      </c>
      <c r="D407" s="3"/>
      <c r="E407" s="4" t="s">
        <v>236</v>
      </c>
      <c r="F407" s="3" t="str">
        <f>IFERROR(__xludf.DUMMYFUNCTION("GOOGLETRANSLATE(B407,""en"",""ar"")"),"رئيسي")</f>
        <v>رئيسي</v>
      </c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4.25" customHeight="1">
      <c r="A408" s="5"/>
      <c r="B408" s="2" t="s">
        <v>495</v>
      </c>
      <c r="C408" s="2">
        <v>42.0</v>
      </c>
      <c r="D408" s="3"/>
      <c r="E408" s="4" t="s">
        <v>95</v>
      </c>
      <c r="F408" s="3" t="str">
        <f>IFERROR(__xludf.DUMMYFUNCTION("GOOGLETRANSLATE(B408,""en"",""ar"")"),"عرض")</f>
        <v>عرض</v>
      </c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4.25" customHeight="1">
      <c r="A409" s="5"/>
      <c r="B409" s="2" t="s">
        <v>496</v>
      </c>
      <c r="C409" s="2">
        <v>42.0</v>
      </c>
      <c r="D409" s="3"/>
      <c r="E409" s="4" t="s">
        <v>120</v>
      </c>
      <c r="F409" s="3" t="str">
        <f>IFERROR(__xludf.DUMMYFUNCTION("GOOGLETRANSLATE(B409,""en"",""ar"")"),"نفط")</f>
        <v>نفط</v>
      </c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4.25" customHeight="1">
      <c r="A410" s="5"/>
      <c r="B410" s="2" t="s">
        <v>497</v>
      </c>
      <c r="C410" s="2">
        <v>42.0</v>
      </c>
      <c r="D410" s="3"/>
      <c r="E410" s="4" t="s">
        <v>120</v>
      </c>
      <c r="F410" s="3" t="str">
        <f>IFERROR(__xludf.DUMMYFUNCTION("GOOGLETRANSLATE(B410,""en"",""ar"")"),"صورة")</f>
        <v>صورة</v>
      </c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4.25" customHeight="1">
      <c r="A411" s="5"/>
      <c r="B411" s="2" t="s">
        <v>498</v>
      </c>
      <c r="C411" s="2">
        <v>42.0</v>
      </c>
      <c r="D411" s="3"/>
      <c r="E411" s="4" t="s">
        <v>236</v>
      </c>
      <c r="F411" s="3" t="str">
        <f>IFERROR(__xludf.DUMMYFUNCTION("GOOGLETRANSLATE(B411,""en"",""ar"")"),"القدره")</f>
        <v>القدره</v>
      </c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4.25" customHeight="1">
      <c r="A412" s="5"/>
      <c r="B412" s="2" t="s">
        <v>499</v>
      </c>
      <c r="C412" s="2">
        <v>42.0</v>
      </c>
      <c r="D412" s="3"/>
      <c r="E412" s="4" t="s">
        <v>236</v>
      </c>
      <c r="F412" s="3" t="str">
        <f>IFERROR(__xludf.DUMMYFUNCTION("GOOGLETRANSLATE(B412,""en"",""ar"")"),"المحترفين")</f>
        <v>المحترفين</v>
      </c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4.25" customHeight="1">
      <c r="A413" s="5"/>
      <c r="B413" s="2" t="s">
        <v>500</v>
      </c>
      <c r="C413" s="2">
        <v>42.0</v>
      </c>
      <c r="D413" s="3"/>
      <c r="E413" s="4" t="s">
        <v>43</v>
      </c>
      <c r="F413" s="3" t="str">
        <f>IFERROR(__xludf.DUMMYFUNCTION("GOOGLETRANSLATE(B413,""en"",""ar"")"),"بدلاً")</f>
        <v>بدلاً</v>
      </c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4.25" customHeight="1">
      <c r="A414" s="5"/>
      <c r="B414" s="2" t="s">
        <v>501</v>
      </c>
      <c r="C414" s="2">
        <v>41.0</v>
      </c>
      <c r="D414" s="3"/>
      <c r="E414" s="4" t="s">
        <v>129</v>
      </c>
      <c r="F414" s="3" t="str">
        <f>IFERROR(__xludf.DUMMYFUNCTION("GOOGLETRANSLATE(B414,""en"",""ar"")"),"التمكن من")</f>
        <v>التمكن من</v>
      </c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4.25" customHeight="1">
      <c r="A415" s="5"/>
      <c r="B415" s="2" t="s">
        <v>502</v>
      </c>
      <c r="C415" s="2">
        <v>41.0</v>
      </c>
      <c r="D415" s="3"/>
      <c r="E415" s="4" t="s">
        <v>113</v>
      </c>
      <c r="F415" s="3" t="str">
        <f>IFERROR(__xludf.DUMMYFUNCTION("GOOGLETRANSLATE(B415,""en"",""ar"")"),"إضافي")</f>
        <v>إضافي</v>
      </c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4.25" customHeight="1">
      <c r="A416" s="5"/>
      <c r="B416" s="2" t="s">
        <v>503</v>
      </c>
      <c r="C416" s="2">
        <v>41.0</v>
      </c>
      <c r="D416" s="3"/>
      <c r="E416" s="4" t="s">
        <v>43</v>
      </c>
      <c r="F416" s="3" t="str">
        <f>IFERROR(__xludf.DUMMYFUNCTION("GOOGLETRANSLATE(B416,""en"",""ar"")"),"تقريبيا")</f>
        <v>تقريبيا</v>
      </c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4.25" customHeight="1">
      <c r="A417" s="5"/>
      <c r="B417" s="2" t="s">
        <v>504</v>
      </c>
      <c r="C417" s="2">
        <v>41.0</v>
      </c>
      <c r="D417" s="3"/>
      <c r="E417" s="4" t="s">
        <v>43</v>
      </c>
      <c r="F417" s="3" t="str">
        <f>IFERROR(__xludf.DUMMYFUNCTION("GOOGLETRANSLATE(B417,""en"",""ar"")"),"خاصة")</f>
        <v>خاصة</v>
      </c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4.25" customHeight="1">
      <c r="A418" s="5"/>
      <c r="B418" s="2" t="s">
        <v>505</v>
      </c>
      <c r="C418" s="2">
        <v>41.0</v>
      </c>
      <c r="D418" s="3"/>
      <c r="E418" s="4" t="s">
        <v>120</v>
      </c>
      <c r="F418" s="3" t="str">
        <f>IFERROR(__xludf.DUMMYFUNCTION("GOOGLETRANSLATE(B418,""en"",""ar"")"),"حديقة")</f>
        <v>حديقة</v>
      </c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4.25" customHeight="1">
      <c r="A419" s="5"/>
      <c r="B419" s="2" t="s">
        <v>506</v>
      </c>
      <c r="C419" s="2">
        <v>41.0</v>
      </c>
      <c r="D419" s="3"/>
      <c r="E419" s="4" t="s">
        <v>236</v>
      </c>
      <c r="F419" s="3" t="str">
        <f>IFERROR(__xludf.DUMMYFUNCTION("GOOGLETRANSLATE(B419,""en"",""ar"")"),"دولي")</f>
        <v>دولي</v>
      </c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4.25" customHeight="1">
      <c r="A420" s="5"/>
      <c r="B420" s="2" t="s">
        <v>507</v>
      </c>
      <c r="C420" s="2">
        <v>41.0</v>
      </c>
      <c r="D420" s="3"/>
      <c r="E420" s="4" t="s">
        <v>51</v>
      </c>
      <c r="F420" s="3" t="str">
        <f>IFERROR(__xludf.DUMMYFUNCTION("GOOGLETRANSLATE(B420,""en"",""ar"")"),"أدنى")</f>
        <v>أدنى</v>
      </c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4.25" customHeight="1">
      <c r="A421" s="5"/>
      <c r="B421" s="2" t="s">
        <v>508</v>
      </c>
      <c r="C421" s="2">
        <v>41.0</v>
      </c>
      <c r="D421" s="3"/>
      <c r="E421" s="4" t="s">
        <v>80</v>
      </c>
      <c r="F421" s="3" t="str">
        <f>IFERROR(__xludf.DUMMYFUNCTION("GOOGLETRANSLATE(B421,""en"",""ar"")"),"إدارة")</f>
        <v>إدارة</v>
      </c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4.25" customHeight="1">
      <c r="A422" s="5"/>
      <c r="B422" s="2" t="s">
        <v>509</v>
      </c>
      <c r="C422" s="2">
        <v>41.0</v>
      </c>
      <c r="D422" s="3"/>
      <c r="E422" s="4" t="s">
        <v>510</v>
      </c>
      <c r="F422" s="3" t="str">
        <f>IFERROR(__xludf.DUMMYFUNCTION("GOOGLETRANSLATE(B422,""en"",""ar"")"),"افتح")</f>
        <v>افتح</v>
      </c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4.25" customHeight="1">
      <c r="A423" s="5"/>
      <c r="B423" s="2" t="s">
        <v>511</v>
      </c>
      <c r="C423" s="2">
        <v>41.0</v>
      </c>
      <c r="D423" s="3"/>
      <c r="E423" s="4" t="s">
        <v>80</v>
      </c>
      <c r="F423" s="3" t="str">
        <f>IFERROR(__xludf.DUMMYFUNCTION("GOOGLETRANSLATE(B423,""en"",""ar"")"),"لاعب")</f>
        <v>لاعب</v>
      </c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4.25" customHeight="1">
      <c r="A424" s="5"/>
      <c r="B424" s="2" t="s">
        <v>512</v>
      </c>
      <c r="C424" s="2">
        <v>41.0</v>
      </c>
      <c r="D424" s="3"/>
      <c r="E424" s="4" t="s">
        <v>120</v>
      </c>
      <c r="F424" s="3" t="str">
        <f>IFERROR(__xludf.DUMMYFUNCTION("GOOGLETRANSLATE(B424,""en"",""ar"")"),"نطاق")</f>
        <v>نطاق</v>
      </c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4.25" customHeight="1">
      <c r="A425" s="5"/>
      <c r="B425" s="2" t="s">
        <v>513</v>
      </c>
      <c r="C425" s="2">
        <v>41.0</v>
      </c>
      <c r="D425" s="3"/>
      <c r="E425" s="4" t="s">
        <v>120</v>
      </c>
      <c r="F425" s="3" t="str">
        <f>IFERROR(__xludf.DUMMYFUNCTION("GOOGLETRANSLATE(B425,""en"",""ar"")"),"معدل")</f>
        <v>معدل</v>
      </c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4.25" customHeight="1">
      <c r="A426" s="5"/>
      <c r="B426" s="2" t="s">
        <v>514</v>
      </c>
      <c r="C426" s="2">
        <v>41.0</v>
      </c>
      <c r="D426" s="3"/>
      <c r="E426" s="4" t="s">
        <v>120</v>
      </c>
      <c r="F426" s="3" t="str">
        <f>IFERROR(__xludf.DUMMYFUNCTION("GOOGLETRANSLATE(B426,""en"",""ar"")"),"السبب")</f>
        <v>السبب</v>
      </c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4.25" customHeight="1">
      <c r="A427" s="5"/>
      <c r="B427" s="2" t="s">
        <v>515</v>
      </c>
      <c r="C427" s="2">
        <v>41.0</v>
      </c>
      <c r="D427" s="3"/>
      <c r="E427" s="4" t="s">
        <v>95</v>
      </c>
      <c r="F427" s="3" t="str">
        <f>IFERROR(__xludf.DUMMYFUNCTION("GOOGLETRANSLATE(B427,""en"",""ar"")"),"يسافر")</f>
        <v>يسافر</v>
      </c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4.25" customHeight="1">
      <c r="A428" s="5"/>
      <c r="B428" s="2" t="s">
        <v>516</v>
      </c>
      <c r="C428" s="2">
        <v>41.0</v>
      </c>
      <c r="D428" s="3"/>
      <c r="E428" s="4" t="s">
        <v>80</v>
      </c>
      <c r="F428" s="3" t="str">
        <f>IFERROR(__xludf.DUMMYFUNCTION("GOOGLETRANSLATE(B428,""en"",""ar"")"),"تشكيلة")</f>
        <v>تشكيلة</v>
      </c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4.25" customHeight="1">
      <c r="A429" s="5"/>
      <c r="B429" s="2" t="s">
        <v>517</v>
      </c>
      <c r="C429" s="2">
        <v>41.0</v>
      </c>
      <c r="D429" s="3"/>
      <c r="E429" s="4" t="s">
        <v>80</v>
      </c>
      <c r="F429" s="3" t="str">
        <f>IFERROR(__xludf.DUMMYFUNCTION("GOOGLETRANSLATE(B429,""en"",""ar"")"),"فيديو")</f>
        <v>فيديو</v>
      </c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4.25" customHeight="1">
      <c r="A430" s="5"/>
      <c r="B430" s="2" t="s">
        <v>518</v>
      </c>
      <c r="C430" s="2">
        <v>41.0</v>
      </c>
      <c r="D430" s="3"/>
      <c r="E430" s="4" t="s">
        <v>80</v>
      </c>
      <c r="F430" s="3" t="str">
        <f>IFERROR(__xludf.DUMMYFUNCTION("GOOGLETRANSLATE(B430,""en"",""ar"")"),"أسبوع")</f>
        <v>أسبوع</v>
      </c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4.25" customHeight="1">
      <c r="A431" s="5"/>
      <c r="B431" s="2" t="s">
        <v>519</v>
      </c>
      <c r="C431" s="2">
        <v>40.0</v>
      </c>
      <c r="D431" s="3"/>
      <c r="E431" s="4" t="s">
        <v>99</v>
      </c>
      <c r="F431" s="3" t="str">
        <f>IFERROR(__xludf.DUMMYFUNCTION("GOOGLETRANSLATE(B431,""en"",""ar"")"),"في الاعلى")</f>
        <v>في الاعلى</v>
      </c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4.25" customHeight="1">
      <c r="A432" s="5"/>
      <c r="B432" s="2" t="s">
        <v>520</v>
      </c>
      <c r="C432" s="2">
        <v>40.0</v>
      </c>
      <c r="D432" s="3"/>
      <c r="E432" s="4" t="s">
        <v>180</v>
      </c>
      <c r="F432" s="3" t="str">
        <f>IFERROR(__xludf.DUMMYFUNCTION("GOOGLETRANSLATE(B432,""en"",""ar"")"),"تبعا")</f>
        <v>تبعا</v>
      </c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4.25" customHeight="1">
      <c r="A433" s="5"/>
      <c r="B433" s="2" t="s">
        <v>521</v>
      </c>
      <c r="C433" s="2">
        <v>40.0</v>
      </c>
      <c r="D433" s="3"/>
      <c r="E433" s="4" t="s">
        <v>95</v>
      </c>
      <c r="F433" s="3" t="str">
        <f>IFERROR(__xludf.DUMMYFUNCTION("GOOGLETRANSLATE(B433,""en"",""ar"")"),"يطبخ")</f>
        <v>يطبخ</v>
      </c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4.25" customHeight="1">
      <c r="A434" s="5"/>
      <c r="B434" s="2" t="s">
        <v>522</v>
      </c>
      <c r="C434" s="2">
        <v>40.0</v>
      </c>
      <c r="D434" s="3"/>
      <c r="E434" s="4" t="s">
        <v>13</v>
      </c>
      <c r="F434" s="3" t="str">
        <f>IFERROR(__xludf.DUMMYFUNCTION("GOOGLETRANSLATE(B434,""en"",""ar"")"),"تحديد")</f>
        <v>تحديد</v>
      </c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4.25" customHeight="1">
      <c r="A435" s="5"/>
      <c r="B435" s="2" t="s">
        <v>523</v>
      </c>
      <c r="C435" s="2">
        <v>40.0</v>
      </c>
      <c r="D435" s="3"/>
      <c r="E435" s="4" t="s">
        <v>149</v>
      </c>
      <c r="F435" s="3" t="str">
        <f>IFERROR(__xludf.DUMMYFUNCTION("GOOGLETRANSLATE(B435,""en"",""ar"")"),"مستقبل")</f>
        <v>مستقبل</v>
      </c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4.25" customHeight="1">
      <c r="A436" s="5"/>
      <c r="B436" s="2" t="s">
        <v>524</v>
      </c>
      <c r="C436" s="2">
        <v>40.0</v>
      </c>
      <c r="D436" s="3"/>
      <c r="E436" s="4" t="s">
        <v>120</v>
      </c>
      <c r="F436" s="3" t="str">
        <f>IFERROR(__xludf.DUMMYFUNCTION("GOOGLETRANSLATE(B436,""en"",""ar"")"),"موقع")</f>
        <v>موقع</v>
      </c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4.25" customHeight="1">
      <c r="A437" s="5"/>
      <c r="B437" s="2" t="s">
        <v>525</v>
      </c>
      <c r="C437" s="2">
        <v>39.0</v>
      </c>
      <c r="D437" s="3"/>
      <c r="E437" s="4" t="s">
        <v>236</v>
      </c>
      <c r="F437" s="3" t="str">
        <f>IFERROR(__xludf.DUMMYFUNCTION("GOOGLETRANSLATE(B437,""en"",""ar"")"),"لبديل")</f>
        <v>لبديل</v>
      </c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4.25" customHeight="1">
      <c r="A438" s="5"/>
      <c r="B438" s="2" t="s">
        <v>526</v>
      </c>
      <c r="C438" s="2">
        <v>39.0</v>
      </c>
      <c r="D438" s="3"/>
      <c r="E438" s="4" t="s">
        <v>120</v>
      </c>
      <c r="F438" s="3" t="str">
        <f>IFERROR(__xludf.DUMMYFUNCTION("GOOGLETRANSLATE(B438,""en"",""ar"")"),"الطلب")</f>
        <v>الطلب</v>
      </c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4.25" customHeight="1">
      <c r="A439" s="5"/>
      <c r="B439" s="2" t="s">
        <v>527</v>
      </c>
      <c r="C439" s="2">
        <v>39.0</v>
      </c>
      <c r="D439" s="3"/>
      <c r="E439" s="4" t="s">
        <v>43</v>
      </c>
      <c r="F439" s="3" t="str">
        <f>IFERROR(__xludf.DUMMYFUNCTION("GOOGLETRANSLATE(B439,""en"",""ar"")"),"أي وقت مضى")</f>
        <v>أي وقت مضى</v>
      </c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4.25" customHeight="1">
      <c r="A440" s="5"/>
      <c r="B440" s="2" t="s">
        <v>528</v>
      </c>
      <c r="C440" s="2">
        <v>39.0</v>
      </c>
      <c r="D440" s="3"/>
      <c r="E440" s="4" t="s">
        <v>120</v>
      </c>
      <c r="F440" s="3" t="str">
        <f>IFERROR(__xludf.DUMMYFUNCTION("GOOGLETRANSLATE(B440,""en"",""ar"")"),"ممارسه الرياضه")</f>
        <v>ممارسه الرياضه</v>
      </c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4.25" customHeight="1">
      <c r="A441" s="5"/>
      <c r="B441" s="2" t="s">
        <v>529</v>
      </c>
      <c r="C441" s="2">
        <v>39.0</v>
      </c>
      <c r="D441" s="3"/>
      <c r="E441" s="4" t="s">
        <v>530</v>
      </c>
      <c r="F441" s="3" t="str">
        <f>IFERROR(__xludf.DUMMYFUNCTION("GOOGLETRANSLATE(B441,""en"",""ar"")"),"التالية")</f>
        <v>التالية</v>
      </c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4.25" customHeight="1">
      <c r="A442" s="5"/>
      <c r="B442" s="2" t="s">
        <v>531</v>
      </c>
      <c r="C442" s="2">
        <v>39.0</v>
      </c>
      <c r="D442" s="3"/>
      <c r="E442" s="4" t="s">
        <v>120</v>
      </c>
      <c r="F442" s="3" t="str">
        <f>IFERROR(__xludf.DUMMYFUNCTION("GOOGLETRANSLATE(B442,""en"",""ar"")"),"صورة")</f>
        <v>صورة</v>
      </c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4.25" customHeight="1">
      <c r="A443" s="5"/>
      <c r="B443" s="2" t="s">
        <v>532</v>
      </c>
      <c r="C443" s="2">
        <v>39.0</v>
      </c>
      <c r="D443" s="3"/>
      <c r="E443" s="4" t="s">
        <v>43</v>
      </c>
      <c r="F443" s="3" t="str">
        <f>IFERROR(__xludf.DUMMYFUNCTION("GOOGLETRANSLATE(B443,""en"",""ar"")"),"بسرعة")</f>
        <v>بسرعة</v>
      </c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4.25" customHeight="1">
      <c r="A444" s="5"/>
      <c r="B444" s="2" t="s">
        <v>533</v>
      </c>
      <c r="C444" s="2">
        <v>39.0</v>
      </c>
      <c r="D444" s="3"/>
      <c r="E444" s="4" t="s">
        <v>236</v>
      </c>
      <c r="F444" s="3" t="str">
        <f>IFERROR(__xludf.DUMMYFUNCTION("GOOGLETRANSLATE(B444,""en"",""ar"")"),"خاص")</f>
        <v>خاص</v>
      </c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4.25" customHeight="1">
      <c r="A445" s="5"/>
      <c r="B445" s="2" t="s">
        <v>534</v>
      </c>
      <c r="C445" s="2">
        <v>39.0</v>
      </c>
      <c r="D445" s="3"/>
      <c r="E445" s="4" t="s">
        <v>236</v>
      </c>
      <c r="F445" s="3" t="str">
        <f>IFERROR(__xludf.DUMMYFUNCTION("GOOGLETRANSLATE(B445,""en"",""ar"")"),"عمل")</f>
        <v>عمل</v>
      </c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4.25" customHeight="1">
      <c r="A446" s="5"/>
      <c r="B446" s="2" t="s">
        <v>535</v>
      </c>
      <c r="C446" s="2">
        <v>38.0</v>
      </c>
      <c r="D446" s="3"/>
      <c r="E446" s="4" t="s">
        <v>120</v>
      </c>
      <c r="F446" s="3" t="str">
        <f>IFERROR(__xludf.DUMMYFUNCTION("GOOGLETRANSLATE(B446,""en"",""ar"")"),"قضية")</f>
        <v>قضية</v>
      </c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4.25" customHeight="1">
      <c r="A447" s="5"/>
      <c r="B447" s="2" t="s">
        <v>536</v>
      </c>
      <c r="C447" s="2">
        <v>38.0</v>
      </c>
      <c r="D447" s="3"/>
      <c r="E447" s="4" t="s">
        <v>120</v>
      </c>
      <c r="F447" s="3" t="str">
        <f>IFERROR(__xludf.DUMMYFUNCTION("GOOGLETRANSLATE(B447,""en"",""ar"")"),"موجه")</f>
        <v>موجه</v>
      </c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4.25" customHeight="1">
      <c r="A448" s="5"/>
      <c r="B448" s="2" t="s">
        <v>537</v>
      </c>
      <c r="C448" s="2">
        <v>38.0</v>
      </c>
      <c r="D448" s="3"/>
      <c r="E448" s="4" t="s">
        <v>120</v>
      </c>
      <c r="F448" s="3" t="str">
        <f>IFERROR(__xludf.DUMMYFUNCTION("GOOGLETRANSLATE(B448,""en"",""ar"")"),"ساحل")</f>
        <v>ساحل</v>
      </c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4.25" customHeight="1">
      <c r="A449" s="5"/>
      <c r="B449" s="2" t="s">
        <v>538</v>
      </c>
      <c r="C449" s="2">
        <v>38.0</v>
      </c>
      <c r="D449" s="3"/>
      <c r="E449" s="4" t="s">
        <v>43</v>
      </c>
      <c r="F449" s="3" t="str">
        <f>IFERROR(__xludf.DUMMYFUNCTION("GOOGLETRANSLATE(B449,""en"",""ar"")"),"المحتمل")</f>
        <v>المحتمل</v>
      </c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4.25" customHeight="1">
      <c r="A450" s="5"/>
      <c r="B450" s="2" t="s">
        <v>539</v>
      </c>
      <c r="C450" s="2">
        <v>38.0</v>
      </c>
      <c r="D450" s="3"/>
      <c r="E450" s="4" t="s">
        <v>80</v>
      </c>
      <c r="F450" s="3" t="str">
        <f>IFERROR(__xludf.DUMMYFUNCTION("GOOGLETRANSLATE(B450,""en"",""ar"")"),"الأمان")</f>
        <v>الأمان</v>
      </c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4.25" customHeight="1">
      <c r="A451" s="5"/>
      <c r="B451" s="2" t="b">
        <v>1</v>
      </c>
      <c r="C451" s="2">
        <v>38.0</v>
      </c>
      <c r="D451" s="3"/>
      <c r="E451" s="4" t="s">
        <v>200</v>
      </c>
      <c r="F451" s="3" t="str">
        <f>IFERROR(__xludf.DUMMYFUNCTION("GOOGLETRANSLATE(B451,""en"",""ar"")"),"صحيح")</f>
        <v>صحيح</v>
      </c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4.25" customHeight="1">
      <c r="A452" s="5"/>
      <c r="B452" s="2" t="s">
        <v>540</v>
      </c>
      <c r="C452" s="2">
        <v>38.0</v>
      </c>
      <c r="D452" s="3"/>
      <c r="E452" s="4" t="s">
        <v>78</v>
      </c>
      <c r="F452" s="3" t="str">
        <f>IFERROR(__xludf.DUMMYFUNCTION("GOOGLETRANSLATE(B452,""en"",""ar"")"),"كامل")</f>
        <v>كامل</v>
      </c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4.25" customHeight="1">
      <c r="A453" s="5"/>
      <c r="B453" s="2" t="s">
        <v>541</v>
      </c>
      <c r="C453" s="2">
        <v>37.0</v>
      </c>
      <c r="D453" s="3"/>
      <c r="E453" s="4" t="s">
        <v>149</v>
      </c>
      <c r="F453" s="3" t="str">
        <f>IFERROR(__xludf.DUMMYFUNCTION("GOOGLETRANSLATE(B453,""en"",""ar"")"),"عمل")</f>
        <v>عمل</v>
      </c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4.25" customHeight="1">
      <c r="A454" s="5"/>
      <c r="B454" s="2" t="s">
        <v>542</v>
      </c>
      <c r="C454" s="2">
        <v>37.0</v>
      </c>
      <c r="D454" s="3"/>
      <c r="E454" s="4" t="s">
        <v>120</v>
      </c>
      <c r="F454" s="3" t="str">
        <f>IFERROR(__xludf.DUMMYFUNCTION("GOOGLETRANSLATE(B454,""en"",""ar"")"),"سن")</f>
        <v>سن</v>
      </c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4.25" customHeight="1">
      <c r="A455" s="5"/>
      <c r="B455" s="2" t="s">
        <v>543</v>
      </c>
      <c r="C455" s="2">
        <v>37.0</v>
      </c>
      <c r="D455" s="3"/>
      <c r="E455" s="4" t="s">
        <v>33</v>
      </c>
      <c r="F455" s="3" t="str">
        <f>IFERROR(__xludf.DUMMYFUNCTION("GOOGLETRANSLATE(B455,""en"",""ar"")"),"ضمن")</f>
        <v>ضمن</v>
      </c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4.25" customHeight="1">
      <c r="A456" s="5"/>
      <c r="B456" s="2" t="s">
        <v>544</v>
      </c>
      <c r="C456" s="2">
        <v>37.0</v>
      </c>
      <c r="D456" s="3"/>
      <c r="E456" s="4" t="s">
        <v>545</v>
      </c>
      <c r="F456" s="3" t="str">
        <f>IFERROR(__xludf.DUMMYFUNCTION("GOOGLETRANSLATE(B456,""en"",""ar"")"),"سيئ")</f>
        <v>سيئ</v>
      </c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4.25" customHeight="1">
      <c r="A457" s="5"/>
      <c r="B457" s="2" t="s">
        <v>546</v>
      </c>
      <c r="C457" s="2">
        <v>37.0</v>
      </c>
      <c r="D457" s="3"/>
      <c r="E457" s="4" t="s">
        <v>120</v>
      </c>
      <c r="F457" s="3" t="str">
        <f>IFERROR(__xludf.DUMMYFUNCTION("GOOGLETRANSLATE(B457,""en"",""ar"")"),"قارب")</f>
        <v>قارب</v>
      </c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4.25" customHeight="1">
      <c r="A458" s="5"/>
      <c r="B458" s="2" t="s">
        <v>547</v>
      </c>
      <c r="C458" s="2">
        <v>37.0</v>
      </c>
      <c r="D458" s="3"/>
      <c r="E458" s="4" t="s">
        <v>80</v>
      </c>
      <c r="F458" s="3" t="str">
        <f>IFERROR(__xludf.DUMMYFUNCTION("GOOGLETRANSLATE(B458,""en"",""ar"")"),"بلد")</f>
        <v>بلد</v>
      </c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4.25" customHeight="1">
      <c r="A459" s="5"/>
      <c r="B459" s="2" t="s">
        <v>548</v>
      </c>
      <c r="C459" s="2">
        <v>37.0</v>
      </c>
      <c r="D459" s="3"/>
      <c r="E459" s="4" t="s">
        <v>95</v>
      </c>
      <c r="F459" s="3" t="str">
        <f>IFERROR(__xludf.DUMMYFUNCTION("GOOGLETRANSLATE(B459,""en"",""ar"")"),"الرقص")</f>
        <v>الرقص</v>
      </c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4.25" customHeight="1">
      <c r="A460" s="5"/>
      <c r="B460" s="2" t="s">
        <v>549</v>
      </c>
      <c r="C460" s="2">
        <v>37.0</v>
      </c>
      <c r="D460" s="3"/>
      <c r="E460" s="4" t="s">
        <v>80</v>
      </c>
      <c r="F460" s="3" t="str">
        <f>IFERROR(__xludf.DUMMYFUNCTION("GOOGLETRANSLATE(B460,""en"",""ar"")"),"امتحان")</f>
        <v>امتحان</v>
      </c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4.25" customHeight="1">
      <c r="A461" s="5"/>
      <c r="B461" s="2" t="s">
        <v>550</v>
      </c>
      <c r="C461" s="2">
        <v>37.0</v>
      </c>
      <c r="D461" s="3"/>
      <c r="E461" s="4" t="s">
        <v>95</v>
      </c>
      <c r="F461" s="3" t="str">
        <f>IFERROR(__xludf.DUMMYFUNCTION("GOOGLETRANSLATE(B461,""en"",""ar"")"),"عذر")</f>
        <v>عذر</v>
      </c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4.25" customHeight="1">
      <c r="A462" s="5"/>
      <c r="B462" s="2" t="s">
        <v>551</v>
      </c>
      <c r="C462" s="2">
        <v>37.0</v>
      </c>
      <c r="D462" s="3"/>
      <c r="E462" s="4" t="s">
        <v>13</v>
      </c>
      <c r="F462" s="3" t="str">
        <f>IFERROR(__xludf.DUMMYFUNCTION("GOOGLETRANSLATE(B462,""en"",""ar"")"),"تنمو")</f>
        <v>تنمو</v>
      </c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4.25" customHeight="1">
      <c r="A463" s="5"/>
      <c r="B463" s="2" t="s">
        <v>552</v>
      </c>
      <c r="C463" s="2">
        <v>37.0</v>
      </c>
      <c r="D463" s="3"/>
      <c r="E463" s="4" t="s">
        <v>80</v>
      </c>
      <c r="F463" s="3" t="str">
        <f>IFERROR(__xludf.DUMMYFUNCTION("GOOGLETRANSLATE(B463,""en"",""ar"")"),"فيلم")</f>
        <v>فيلم</v>
      </c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4.25" customHeight="1">
      <c r="A464" s="5"/>
      <c r="B464" s="2" t="s">
        <v>553</v>
      </c>
      <c r="C464" s="2">
        <v>37.0</v>
      </c>
      <c r="D464" s="3"/>
      <c r="E464" s="4" t="s">
        <v>80</v>
      </c>
      <c r="F464" s="3" t="str">
        <f>IFERROR(__xludf.DUMMYFUNCTION("GOOGLETRANSLATE(B464,""en"",""ar"")"),"منظمة")</f>
        <v>منظمة</v>
      </c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4.25" customHeight="1">
      <c r="A465" s="5"/>
      <c r="B465" s="2" t="s">
        <v>554</v>
      </c>
      <c r="C465" s="2">
        <v>37.0</v>
      </c>
      <c r="D465" s="3"/>
      <c r="E465" s="4" t="s">
        <v>120</v>
      </c>
      <c r="F465" s="3" t="str">
        <f>IFERROR(__xludf.DUMMYFUNCTION("GOOGLETRANSLATE(B465,""en"",""ar"")"),"سجل")</f>
        <v>سجل</v>
      </c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4.25" customHeight="1">
      <c r="A466" s="5"/>
      <c r="B466" s="2" t="s">
        <v>555</v>
      </c>
      <c r="C466" s="2">
        <v>37.0</v>
      </c>
      <c r="D466" s="3"/>
      <c r="E466" s="4" t="s">
        <v>120</v>
      </c>
      <c r="F466" s="3" t="str">
        <f>IFERROR(__xludf.DUMMYFUNCTION("GOOGLETRANSLATE(B466,""en"",""ar"")"),"نتيجة")</f>
        <v>نتيجة</v>
      </c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4.25" customHeight="1">
      <c r="A467" s="5"/>
      <c r="B467" s="2" t="s">
        <v>556</v>
      </c>
      <c r="C467" s="2">
        <v>37.0</v>
      </c>
      <c r="D467" s="3"/>
      <c r="E467" s="4" t="s">
        <v>120</v>
      </c>
      <c r="F467" s="3" t="str">
        <f>IFERROR(__xludf.DUMMYFUNCTION("GOOGLETRANSLATE(B467,""en"",""ar"")"),"الجزء")</f>
        <v>الجزء</v>
      </c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4.25" customHeight="1">
      <c r="A468" s="5"/>
      <c r="B468" s="2" t="s">
        <v>557</v>
      </c>
      <c r="C468" s="2">
        <v>36.0</v>
      </c>
      <c r="D468" s="3"/>
      <c r="E468" s="4" t="s">
        <v>29</v>
      </c>
      <c r="F468" s="3" t="str">
        <f>IFERROR(__xludf.DUMMYFUNCTION("GOOGLETRANSLATE(B468,""en"",""ar"")"),"بجانب")</f>
        <v>بجانب</v>
      </c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4.25" customHeight="1">
      <c r="A469" s="5"/>
      <c r="B469" s="2" t="s">
        <v>558</v>
      </c>
      <c r="C469" s="2">
        <v>36.0</v>
      </c>
      <c r="D469" s="3"/>
      <c r="E469" s="4" t="s">
        <v>43</v>
      </c>
      <c r="F469" s="3" t="str">
        <f>IFERROR(__xludf.DUMMYFUNCTION("GOOGLETRANSLATE(B469,""en"",""ar"")"),"سابقا")</f>
        <v>سابقا</v>
      </c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4.25" customHeight="1">
      <c r="A470" s="5"/>
      <c r="B470" s="2" t="s">
        <v>559</v>
      </c>
      <c r="C470" s="2">
        <v>36.0</v>
      </c>
      <c r="D470" s="3"/>
      <c r="E470" s="4" t="s">
        <v>43</v>
      </c>
      <c r="F470" s="3" t="str">
        <f>IFERROR(__xludf.DUMMYFUNCTION("GOOGLETRANSLATE(B470,""en"",""ar"")"),"أقل")</f>
        <v>أقل</v>
      </c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4.25" customHeight="1">
      <c r="A471" s="5"/>
      <c r="B471" s="2" t="s">
        <v>560</v>
      </c>
      <c r="C471" s="2">
        <v>36.0</v>
      </c>
      <c r="D471" s="3"/>
      <c r="E471" s="4" t="s">
        <v>120</v>
      </c>
      <c r="F471" s="3" t="str">
        <f>IFERROR(__xludf.DUMMYFUNCTION("GOOGLETRANSLATE(B471,""en"",""ar"")"),"بناء")</f>
        <v>بناء</v>
      </c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4.25" customHeight="1">
      <c r="A472" s="5"/>
      <c r="B472" s="2" t="s">
        <v>561</v>
      </c>
      <c r="C472" s="2">
        <v>36.0</v>
      </c>
      <c r="D472" s="3"/>
      <c r="E472" s="4" t="s">
        <v>120</v>
      </c>
      <c r="F472" s="3" t="str">
        <f>IFERROR(__xludf.DUMMYFUNCTION("GOOGLETRANSLATE(B472,""en"",""ar"")"),"الفأر")</f>
        <v>الفأر</v>
      </c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4.25" customHeight="1">
      <c r="A473" s="5"/>
      <c r="B473" s="2" t="s">
        <v>562</v>
      </c>
      <c r="C473" s="2">
        <v>35.0</v>
      </c>
      <c r="D473" s="3"/>
      <c r="E473" s="4" t="s">
        <v>13</v>
      </c>
      <c r="F473" s="3" t="str">
        <f>IFERROR(__xludf.DUMMYFUNCTION("GOOGLETRANSLATE(B473,""en"",""ar"")"),"السماح")</f>
        <v>السماح</v>
      </c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4.25" customHeight="1">
      <c r="A474" s="5"/>
      <c r="B474" s="2" t="s">
        <v>563</v>
      </c>
      <c r="C474" s="2">
        <v>35.0</v>
      </c>
      <c r="D474" s="3"/>
      <c r="E474" s="4" t="s">
        <v>120</v>
      </c>
      <c r="F474" s="3" t="str">
        <f>IFERROR(__xludf.DUMMYFUNCTION("GOOGLETRANSLATE(B474,""en"",""ar"")"),"السيولة النقدية")</f>
        <v>السيولة النقدية</v>
      </c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4.25" customHeight="1">
      <c r="A475" s="5"/>
      <c r="B475" s="2" t="s">
        <v>564</v>
      </c>
      <c r="C475" s="2">
        <v>35.0</v>
      </c>
      <c r="D475" s="3"/>
      <c r="E475" s="4" t="s">
        <v>129</v>
      </c>
      <c r="F475" s="3" t="str">
        <f>IFERROR(__xludf.DUMMYFUNCTION("GOOGLETRANSLATE(B475,""en"",""ar"")"),"صف دراسي")</f>
        <v>صف دراسي</v>
      </c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4.25" customHeight="1">
      <c r="A476" s="5"/>
      <c r="B476" s="2" t="s">
        <v>565</v>
      </c>
      <c r="C476" s="2">
        <v>35.0</v>
      </c>
      <c r="D476" s="3"/>
      <c r="E476" s="4" t="s">
        <v>200</v>
      </c>
      <c r="F476" s="3" t="str">
        <f>IFERROR(__xludf.DUMMYFUNCTION("GOOGLETRANSLATE(B476,""en"",""ar"")"),"صافي")</f>
        <v>صافي</v>
      </c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4.25" customHeight="1">
      <c r="A477" s="5"/>
      <c r="B477" s="2" t="s">
        <v>566</v>
      </c>
      <c r="C477" s="2">
        <v>35.0</v>
      </c>
      <c r="D477" s="3"/>
      <c r="E477" s="4" t="s">
        <v>510</v>
      </c>
      <c r="F477" s="3" t="str">
        <f>IFERROR(__xludf.DUMMYFUNCTION("GOOGLETRANSLATE(B477,""en"",""ar"")"),"جاف")</f>
        <v>جاف</v>
      </c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4.25" customHeight="1">
      <c r="A478" s="5"/>
      <c r="B478" s="2" t="s">
        <v>567</v>
      </c>
      <c r="C478" s="2">
        <v>35.0</v>
      </c>
      <c r="D478" s="3"/>
      <c r="E478" s="4" t="s">
        <v>270</v>
      </c>
      <c r="F478" s="3" t="str">
        <f>IFERROR(__xludf.DUMMYFUNCTION("GOOGLETRANSLATE(B478,""en"",""ar"")"),"سهل")</f>
        <v>سهل</v>
      </c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4.25" customHeight="1">
      <c r="A479" s="5"/>
      <c r="B479" s="2" t="s">
        <v>568</v>
      </c>
      <c r="C479" s="2">
        <v>35.0</v>
      </c>
      <c r="D479" s="3"/>
      <c r="E479" s="4" t="s">
        <v>113</v>
      </c>
      <c r="F479" s="3" t="str">
        <f>IFERROR(__xludf.DUMMYFUNCTION("GOOGLETRANSLATE(B479,""en"",""ar"")"),"عاطفي")</f>
        <v>عاطفي</v>
      </c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4.25" customHeight="1">
      <c r="A480" s="5"/>
      <c r="B480" s="2" t="s">
        <v>569</v>
      </c>
      <c r="C480" s="2">
        <v>35.0</v>
      </c>
      <c r="D480" s="3"/>
      <c r="E480" s="4" t="s">
        <v>80</v>
      </c>
      <c r="F480" s="3" t="str">
        <f>IFERROR(__xludf.DUMMYFUNCTION("GOOGLETRANSLATE(B480,""en"",""ar"")"),"معدات")</f>
        <v>معدات</v>
      </c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4.25" customHeight="1">
      <c r="A481" s="5"/>
      <c r="B481" s="2" t="s">
        <v>570</v>
      </c>
      <c r="C481" s="2">
        <v>35.0</v>
      </c>
      <c r="D481" s="8"/>
      <c r="E481" s="9" t="s">
        <v>571</v>
      </c>
      <c r="F481" s="8" t="str">
        <f>IFERROR(__xludf.DUMMYFUNCTION("GOOGLETRANSLATE(B481,""en"",""ar"")"),"يعيش")</f>
        <v>يعيش</v>
      </c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ht="14.25" customHeight="1">
      <c r="A482" s="5"/>
      <c r="B482" s="2" t="s">
        <v>572</v>
      </c>
      <c r="C482" s="2">
        <v>35.0</v>
      </c>
      <c r="D482" s="3"/>
      <c r="E482" s="4" t="s">
        <v>573</v>
      </c>
      <c r="F482" s="3" t="str">
        <f>IFERROR(__xludf.DUMMYFUNCTION("GOOGLETRANSLATE(B482,""en"",""ar"")"),"ولا شيء")</f>
        <v>ولا شيء</v>
      </c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4.25" customHeight="1">
      <c r="A483" s="5"/>
      <c r="B483" s="2" t="s">
        <v>574</v>
      </c>
      <c r="C483" s="2">
        <v>35.0</v>
      </c>
      <c r="D483" s="3"/>
      <c r="E483" s="4" t="s">
        <v>149</v>
      </c>
      <c r="F483" s="3" t="str">
        <f>IFERROR(__xludf.DUMMYFUNCTION("GOOGLETRANSLATE(B483,""en"",""ar"")"),"فترة")</f>
        <v>فترة</v>
      </c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4.25" customHeight="1">
      <c r="A484" s="5"/>
      <c r="B484" s="2" t="s">
        <v>575</v>
      </c>
      <c r="C484" s="2">
        <v>35.0</v>
      </c>
      <c r="D484" s="3"/>
      <c r="E484" s="4" t="s">
        <v>80</v>
      </c>
      <c r="F484" s="3" t="str">
        <f>IFERROR(__xludf.DUMMYFUNCTION("GOOGLETRANSLATE(B484,""en"",""ar"")"),"الفيزياء")</f>
        <v>الفيزياء</v>
      </c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4.25" customHeight="1">
      <c r="A485" s="5"/>
      <c r="B485" s="2" t="s">
        <v>576</v>
      </c>
      <c r="C485" s="2">
        <v>35.0</v>
      </c>
      <c r="D485" s="3"/>
      <c r="E485" s="4" t="s">
        <v>120</v>
      </c>
      <c r="F485" s="3" t="str">
        <f>IFERROR(__xludf.DUMMYFUNCTION("GOOGLETRANSLATE(B485,""en"",""ar"")"),"خطة")</f>
        <v>خطة</v>
      </c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4.25" customHeight="1">
      <c r="A486" s="5"/>
      <c r="B486" s="2" t="s">
        <v>577</v>
      </c>
      <c r="C486" s="2">
        <v>35.0</v>
      </c>
      <c r="D486" s="3"/>
      <c r="E486" s="4" t="s">
        <v>120</v>
      </c>
      <c r="F486" s="3" t="str">
        <f>IFERROR(__xludf.DUMMYFUNCTION("GOOGLETRANSLATE(B486,""en"",""ar"")"),"متجر")</f>
        <v>متجر</v>
      </c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4.25" customHeight="1">
      <c r="A487" s="5"/>
      <c r="B487" s="2" t="s">
        <v>578</v>
      </c>
      <c r="C487" s="2">
        <v>35.0</v>
      </c>
      <c r="D487" s="3"/>
      <c r="E487" s="4" t="s">
        <v>120</v>
      </c>
      <c r="F487" s="3" t="str">
        <f>IFERROR(__xludf.DUMMYFUNCTION("GOOGLETRANSLATE(B487,""en"",""ar"")"),"ضريبة")</f>
        <v>ضريبة</v>
      </c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4.25" customHeight="1">
      <c r="A488" s="5"/>
      <c r="B488" s="2" t="s">
        <v>579</v>
      </c>
      <c r="C488" s="2">
        <v>34.0</v>
      </c>
      <c r="D488" s="3"/>
      <c r="E488" s="4" t="s">
        <v>80</v>
      </c>
      <c r="F488" s="3" t="str">
        <f>IFERROR(__xludf.DUMMYFUNCTION("GOOGLETRANSLATE(B488,""en"",""ar"")"),"التحليلات")</f>
        <v>التحليلات</v>
      </c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4.25" customHeight="1">
      <c r="A489" s="5"/>
      <c r="B489" s="2" t="s">
        <v>580</v>
      </c>
      <c r="C489" s="2">
        <v>34.0</v>
      </c>
      <c r="D489" s="3"/>
      <c r="E489" s="4" t="s">
        <v>78</v>
      </c>
      <c r="F489" s="3" t="str">
        <f>IFERROR(__xludf.DUMMYFUNCTION("GOOGLETRANSLATE(B489,""en"",""ar"")"),"البرد")</f>
        <v>البرد</v>
      </c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4.25" customHeight="1">
      <c r="A490" s="5"/>
      <c r="B490" s="2" t="s">
        <v>581</v>
      </c>
      <c r="C490" s="2">
        <v>34.0</v>
      </c>
      <c r="D490" s="3"/>
      <c r="E490" s="4" t="s">
        <v>236</v>
      </c>
      <c r="F490" s="3" t="str">
        <f>IFERROR(__xludf.DUMMYFUNCTION("GOOGLETRANSLATE(B490,""en"",""ar"")"),"تجاري")</f>
        <v>تجاري</v>
      </c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4.25" customHeight="1">
      <c r="A491" s="5"/>
      <c r="B491" s="2" t="s">
        <v>582</v>
      </c>
      <c r="C491" s="2">
        <v>34.0</v>
      </c>
      <c r="D491" s="3"/>
      <c r="E491" s="4" t="s">
        <v>43</v>
      </c>
      <c r="F491" s="3" t="str">
        <f>IFERROR(__xludf.DUMMYFUNCTION("GOOGLETRANSLATE(B491,""en"",""ar"")"),"مباشرة")</f>
        <v>مباشرة</v>
      </c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4.25" customHeight="1">
      <c r="A492" s="5"/>
      <c r="B492" s="2" t="s">
        <v>583</v>
      </c>
      <c r="C492" s="2">
        <v>34.0</v>
      </c>
      <c r="D492" s="3"/>
      <c r="E492" s="4" t="s">
        <v>206</v>
      </c>
      <c r="F492" s="3" t="str">
        <f>IFERROR(__xludf.DUMMYFUNCTION("GOOGLETRANSLATE(B492,""en"",""ar"")"),"ممتلئ")</f>
        <v>ممتلئ</v>
      </c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4.25" customHeight="1">
      <c r="A493" s="5"/>
      <c r="B493" s="2" t="s">
        <v>584</v>
      </c>
      <c r="C493" s="2">
        <v>34.0</v>
      </c>
      <c r="D493" s="3"/>
      <c r="E493" s="4" t="s">
        <v>88</v>
      </c>
      <c r="F493" s="3" t="str">
        <f>IFERROR(__xludf.DUMMYFUNCTION("GOOGLETRANSLATE(B493,""en"",""ar"")"),"متضمن")</f>
        <v>متضمن</v>
      </c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4.25" customHeight="1">
      <c r="A494" s="5"/>
      <c r="B494" s="2" t="s">
        <v>585</v>
      </c>
      <c r="C494" s="2">
        <v>34.0</v>
      </c>
      <c r="D494" s="3"/>
      <c r="E494" s="4" t="s">
        <v>31</v>
      </c>
      <c r="F494" s="3" t="str">
        <f>IFERROR(__xludf.DUMMYFUNCTION("GOOGLETRANSLATE(B494,""en"",""ar"")"),"بحد ذاتها")</f>
        <v>بحد ذاتها</v>
      </c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4.25" customHeight="1">
      <c r="A495" s="5"/>
      <c r="B495" s="2" t="s">
        <v>586</v>
      </c>
      <c r="C495" s="2">
        <v>34.0</v>
      </c>
      <c r="D495" s="3"/>
      <c r="E495" s="4" t="s">
        <v>208</v>
      </c>
      <c r="F495" s="3" t="str">
        <f>IFERROR(__xludf.DUMMYFUNCTION("GOOGLETRANSLATE(B495,""en"",""ar"")"),"قليل")</f>
        <v>قليل</v>
      </c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4.25" customHeight="1">
      <c r="A496" s="5"/>
      <c r="B496" s="2" t="s">
        <v>587</v>
      </c>
      <c r="C496" s="2">
        <v>34.0</v>
      </c>
      <c r="D496" s="3"/>
      <c r="E496" s="4" t="s">
        <v>113</v>
      </c>
      <c r="F496" s="3" t="str">
        <f>IFERROR(__xludf.DUMMYFUNCTION("GOOGLETRANSLATE(B496,""en"",""ar"")"),"قديم")</f>
        <v>قديم</v>
      </c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4.25" customHeight="1">
      <c r="A497" s="10"/>
      <c r="B497" s="11" t="s">
        <v>588</v>
      </c>
      <c r="C497" s="11">
        <v>34.0</v>
      </c>
      <c r="D497" s="12"/>
      <c r="E497" s="13" t="s">
        <v>80</v>
      </c>
      <c r="F497" s="12" t="str">
        <f>IFERROR(__xludf.DUMMYFUNCTION("GOOGLETRANSLATE(B497,""en"",""ar"")"),"سياسات")</f>
        <v>سياسات</v>
      </c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</row>
    <row r="498" ht="14.25" customHeight="1">
      <c r="A498" s="5"/>
      <c r="B498" s="2" t="s">
        <v>589</v>
      </c>
      <c r="C498" s="2">
        <v>34.0</v>
      </c>
      <c r="E498" s="14" t="s">
        <v>113</v>
      </c>
      <c r="F498" s="15" t="str">
        <f>IFERROR(__xludf.DUMMYFUNCTION("GOOGLETRANSLATE(B498,""en"",""ar"")"),"سياسي")</f>
        <v>سياسي</v>
      </c>
    </row>
    <row r="499" ht="14.25" customHeight="1">
      <c r="A499" s="5"/>
      <c r="B499" s="2" t="s">
        <v>590</v>
      </c>
      <c r="C499" s="2">
        <v>34.0</v>
      </c>
      <c r="E499" s="14" t="s">
        <v>95</v>
      </c>
      <c r="F499" s="15" t="str">
        <f>IFERROR(__xludf.DUMMYFUNCTION("GOOGLETRANSLATE(B499,""en"",""ar"")"),"عملية الشراء")</f>
        <v>عملية الشراء</v>
      </c>
    </row>
    <row r="500" ht="14.25" customHeight="1">
      <c r="A500" s="5"/>
      <c r="B500" s="2" t="s">
        <v>591</v>
      </c>
      <c r="C500" s="2">
        <v>34.0</v>
      </c>
      <c r="E500" s="14" t="s">
        <v>80</v>
      </c>
      <c r="F500" s="15" t="str">
        <f>IFERROR(__xludf.DUMMYFUNCTION("GOOGLETRANSLATE(B500,""en"",""ar"")"),"سلسلة")</f>
        <v>سلسلة</v>
      </c>
    </row>
    <row r="501" ht="14.25" customHeight="1">
      <c r="A501" s="5"/>
      <c r="B501" s="2" t="s">
        <v>592</v>
      </c>
      <c r="C501" s="2">
        <v>34.0</v>
      </c>
      <c r="E501" s="14" t="s">
        <v>120</v>
      </c>
      <c r="F501" s="15" t="str">
        <f>IFERROR(__xludf.DUMMYFUNCTION("GOOGLETRANSLATE(B501,""en"",""ar"")"),"جانب")</f>
        <v>جانب</v>
      </c>
    </row>
    <row r="502" ht="14.25" customHeight="1">
      <c r="A502" s="5"/>
      <c r="B502" s="2" t="s">
        <v>593</v>
      </c>
      <c r="C502" s="2">
        <v>34.0</v>
      </c>
      <c r="E502" s="14" t="s">
        <v>309</v>
      </c>
      <c r="F502" s="15" t="str">
        <f>IFERROR(__xludf.DUMMYFUNCTION("GOOGLETRANSLATE(B502,""en"",""ar"")"),"موضوعات")</f>
        <v>موضوعات</v>
      </c>
    </row>
    <row r="503" ht="14.25" customHeight="1">
      <c r="A503" s="5"/>
      <c r="B503" s="2" t="s">
        <v>594</v>
      </c>
      <c r="C503" s="2">
        <v>34.0</v>
      </c>
      <c r="E503" s="14" t="s">
        <v>13</v>
      </c>
      <c r="F503" s="15" t="str">
        <f>IFERROR(__xludf.DUMMYFUNCTION("GOOGLETRANSLATE(B503,""en"",""ar"")"),"إمداد")</f>
        <v>إمداد</v>
      </c>
    </row>
    <row r="504" ht="14.25" customHeight="1">
      <c r="A504" s="5"/>
      <c r="B504" s="2" t="s">
        <v>595</v>
      </c>
      <c r="C504" s="2">
        <v>34.0</v>
      </c>
      <c r="E504" s="14" t="s">
        <v>43</v>
      </c>
      <c r="F504" s="15" t="str">
        <f>IFERROR(__xludf.DUMMYFUNCTION("GOOGLETRANSLATE(B504,""en"",""ar"")"),"وبالتالي")</f>
        <v>وبالتالي</v>
      </c>
    </row>
    <row r="505" ht="14.25" customHeight="1">
      <c r="A505" s="5"/>
      <c r="B505" s="2" t="s">
        <v>596</v>
      </c>
      <c r="C505" s="2">
        <v>34.0</v>
      </c>
      <c r="E505" s="14" t="s">
        <v>80</v>
      </c>
      <c r="F505" s="15" t="str">
        <f>IFERROR(__xludf.DUMMYFUNCTION("GOOGLETRANSLATE(B505,""en"",""ar"")"),"يفكر")</f>
        <v>يفكر</v>
      </c>
    </row>
    <row r="506" ht="14.25" customHeight="1">
      <c r="A506" s="5"/>
      <c r="B506" s="2" t="s">
        <v>597</v>
      </c>
      <c r="C506" s="2">
        <v>33.0</v>
      </c>
      <c r="E506" s="14" t="s">
        <v>80</v>
      </c>
      <c r="F506" s="15" t="str">
        <f>IFERROR(__xludf.DUMMYFUNCTION("GOOGLETRANSLATE(B506,""en"",""ar"")"),"أساس")</f>
        <v>أساس</v>
      </c>
    </row>
    <row r="507" ht="14.25" customHeight="1">
      <c r="A507" s="5"/>
      <c r="B507" s="2" t="s">
        <v>598</v>
      </c>
      <c r="C507" s="2">
        <v>33.0</v>
      </c>
      <c r="E507" s="14" t="s">
        <v>80</v>
      </c>
      <c r="F507" s="15" t="str">
        <f>IFERROR(__xludf.DUMMYFUNCTION("GOOGLETRANSLATE(B507,""en"",""ar"")"),"حبيب")</f>
        <v>حبيب</v>
      </c>
    </row>
    <row r="508" ht="14.25" customHeight="1">
      <c r="A508" s="5"/>
      <c r="B508" s="2" t="s">
        <v>599</v>
      </c>
      <c r="C508" s="2">
        <v>33.0</v>
      </c>
      <c r="E508" s="14" t="s">
        <v>95</v>
      </c>
      <c r="F508" s="15" t="str">
        <f>IFERROR(__xludf.DUMMYFUNCTION("GOOGLETRANSLATE(B508,""en"",""ar"")"),"صفقة")</f>
        <v>صفقة</v>
      </c>
    </row>
    <row r="509" ht="14.25" customHeight="1">
      <c r="A509" s="5"/>
      <c r="B509" s="2" t="s">
        <v>600</v>
      </c>
      <c r="C509" s="2">
        <v>33.0</v>
      </c>
      <c r="E509" s="14" t="s">
        <v>80</v>
      </c>
      <c r="F509" s="15" t="str">
        <f>IFERROR(__xludf.DUMMYFUNCTION("GOOGLETRANSLATE(B509,""en"",""ar"")"),"اتجاه")</f>
        <v>اتجاه</v>
      </c>
    </row>
    <row r="510" ht="14.25" customHeight="1">
      <c r="A510" s="5"/>
      <c r="B510" s="2" t="s">
        <v>601</v>
      </c>
      <c r="C510" s="2">
        <v>33.0</v>
      </c>
      <c r="E510" s="14" t="s">
        <v>198</v>
      </c>
      <c r="F510" s="15" t="str">
        <f>IFERROR(__xludf.DUMMYFUNCTION("GOOGLETRANSLATE(B510,""en"",""ar"")"),"يعني")</f>
        <v>يعني</v>
      </c>
    </row>
    <row r="511" ht="14.25" customHeight="1">
      <c r="A511" s="5"/>
      <c r="B511" s="2" t="s">
        <v>602</v>
      </c>
      <c r="C511" s="2">
        <v>33.0</v>
      </c>
      <c r="E511" s="14" t="s">
        <v>236</v>
      </c>
      <c r="F511" s="15" t="str">
        <f>IFERROR(__xludf.DUMMYFUNCTION("GOOGLETRANSLATE(B511,""en"",""ar"")"),"الأولية")</f>
        <v>الأولية</v>
      </c>
    </row>
    <row r="512" ht="14.25" customHeight="1">
      <c r="A512" s="5"/>
      <c r="B512" s="2" t="s">
        <v>603</v>
      </c>
      <c r="C512" s="2">
        <v>33.0</v>
      </c>
      <c r="E512" s="14" t="s">
        <v>120</v>
      </c>
      <c r="F512" s="15" t="str">
        <f>IFERROR(__xludf.DUMMYFUNCTION("GOOGLETRANSLATE(B512,""en"",""ar"")"),"الفضاء")</f>
        <v>الفضاء</v>
      </c>
    </row>
    <row r="513" ht="14.25" customHeight="1">
      <c r="A513" s="5"/>
      <c r="B513" s="2" t="s">
        <v>604</v>
      </c>
      <c r="C513" s="2">
        <v>33.0</v>
      </c>
      <c r="E513" s="14" t="s">
        <v>80</v>
      </c>
      <c r="F513" s="15" t="str">
        <f>IFERROR(__xludf.DUMMYFUNCTION("GOOGLETRANSLATE(B513,""en"",""ar"")"),"إستراتيجية")</f>
        <v>إستراتيجية</v>
      </c>
    </row>
    <row r="514" ht="14.25" customHeight="1">
      <c r="A514" s="5"/>
      <c r="B514" s="2" t="s">
        <v>605</v>
      </c>
      <c r="C514" s="2">
        <v>33.0</v>
      </c>
      <c r="E514" s="14" t="s">
        <v>80</v>
      </c>
      <c r="F514" s="15" t="str">
        <f>IFERROR(__xludf.DUMMYFUNCTION("GOOGLETRANSLATE(B514,""en"",""ar"")"),"تكنولوجيا")</f>
        <v>تكنولوجيا</v>
      </c>
    </row>
    <row r="515" ht="14.25" customHeight="1">
      <c r="A515" s="5"/>
      <c r="B515" s="2" t="s">
        <v>606</v>
      </c>
      <c r="C515" s="2">
        <v>33.0</v>
      </c>
      <c r="E515" s="14" t="s">
        <v>236</v>
      </c>
      <c r="F515" s="15" t="str">
        <f>IFERROR(__xludf.DUMMYFUNCTION("GOOGLETRANSLATE(B515,""en"",""ar"")"),"يستحق")</f>
        <v>يستحق</v>
      </c>
    </row>
    <row r="516" ht="14.25" customHeight="1">
      <c r="A516" s="5"/>
      <c r="B516" s="2" t="s">
        <v>607</v>
      </c>
      <c r="C516" s="2">
        <v>32.0</v>
      </c>
      <c r="E516" s="14" t="s">
        <v>80</v>
      </c>
      <c r="F516" s="15" t="str">
        <f>IFERROR(__xludf.DUMMYFUNCTION("GOOGLETRANSLATE(B516,""en"",""ar"")"),"جيش")</f>
        <v>جيش</v>
      </c>
    </row>
    <row r="517" ht="14.25" customHeight="1">
      <c r="A517" s="5"/>
      <c r="B517" s="2" t="s">
        <v>608</v>
      </c>
      <c r="C517" s="2">
        <v>32.0</v>
      </c>
      <c r="E517" s="14" t="s">
        <v>80</v>
      </c>
      <c r="F517" s="15" t="str">
        <f>IFERROR(__xludf.DUMMYFUNCTION("GOOGLETRANSLATE(B517,""en"",""ar"")"),"كاميرا")</f>
        <v>كاميرا</v>
      </c>
    </row>
    <row r="518" ht="14.25" customHeight="1">
      <c r="A518" s="5"/>
      <c r="B518" s="2" t="s">
        <v>609</v>
      </c>
      <c r="C518" s="2">
        <v>32.0</v>
      </c>
      <c r="E518" s="14" t="s">
        <v>95</v>
      </c>
      <c r="F518" s="15" t="str">
        <f>IFERROR(__xludf.DUMMYFUNCTION("GOOGLETRANSLATE(B518,""en"",""ar"")"),"يسقط")</f>
        <v>يسقط</v>
      </c>
    </row>
    <row r="519" ht="14.25" customHeight="1">
      <c r="A519" s="5"/>
      <c r="B519" s="2" t="s">
        <v>610</v>
      </c>
      <c r="C519" s="2">
        <v>32.0</v>
      </c>
      <c r="E519" s="14" t="s">
        <v>80</v>
      </c>
      <c r="F519" s="15" t="str">
        <f>IFERROR(__xludf.DUMMYFUNCTION("GOOGLETRANSLATE(B519,""en"",""ar"")"),"الحريه")</f>
        <v>الحريه</v>
      </c>
    </row>
    <row r="520" ht="14.25" customHeight="1">
      <c r="A520" s="5"/>
      <c r="B520" s="2" t="s">
        <v>611</v>
      </c>
      <c r="C520" s="2">
        <v>32.0</v>
      </c>
      <c r="E520" s="14" t="s">
        <v>80</v>
      </c>
      <c r="F520" s="15" t="str">
        <f>IFERROR(__xludf.DUMMYFUNCTION("GOOGLETRANSLATE(B520,""en"",""ar"")"),"ورق")</f>
        <v>ورق</v>
      </c>
    </row>
    <row r="521" ht="14.25" customHeight="1">
      <c r="A521" s="5"/>
      <c r="B521" s="2" t="s">
        <v>612</v>
      </c>
      <c r="C521" s="2">
        <v>32.0</v>
      </c>
      <c r="E521" s="14" t="s">
        <v>120</v>
      </c>
      <c r="F521" s="15" t="str">
        <f>IFERROR(__xludf.DUMMYFUNCTION("GOOGLETRANSLATE(B521,""en"",""ar"")"),"قاعدة")</f>
        <v>قاعدة</v>
      </c>
    </row>
    <row r="522" ht="14.25" customHeight="1">
      <c r="A522" s="5"/>
      <c r="B522" s="2" t="s">
        <v>613</v>
      </c>
      <c r="C522" s="2">
        <v>32.0</v>
      </c>
      <c r="E522" s="14" t="s">
        <v>113</v>
      </c>
      <c r="F522" s="15" t="str">
        <f>IFERROR(__xludf.DUMMYFUNCTION("GOOGLETRANSLATE(B522,""en"",""ar"")"),"مماثل")</f>
        <v>مماثل</v>
      </c>
    </row>
    <row r="523" ht="14.25" customHeight="1">
      <c r="A523" s="5"/>
      <c r="B523" s="2" t="s">
        <v>614</v>
      </c>
      <c r="C523" s="2">
        <v>32.0</v>
      </c>
      <c r="E523" s="14" t="s">
        <v>84</v>
      </c>
      <c r="F523" s="15" t="str">
        <f>IFERROR(__xludf.DUMMYFUNCTION("GOOGLETRANSLATE(B523,""en"",""ar"")"),"مخزون")</f>
        <v>مخزون</v>
      </c>
    </row>
    <row r="524" ht="14.25" customHeight="1">
      <c r="A524" s="5"/>
      <c r="B524" s="2" t="s">
        <v>615</v>
      </c>
      <c r="C524" s="2">
        <v>32.0</v>
      </c>
      <c r="E524" s="14" t="s">
        <v>120</v>
      </c>
      <c r="F524" s="15" t="str">
        <f>IFERROR(__xludf.DUMMYFUNCTION("GOOGLETRANSLATE(B524,""en"",""ar"")"),"طقس")</f>
        <v>طقس</v>
      </c>
    </row>
    <row r="525" ht="14.25" customHeight="1">
      <c r="A525" s="5"/>
      <c r="B525" s="2" t="s">
        <v>616</v>
      </c>
      <c r="C525" s="2">
        <v>32.0</v>
      </c>
      <c r="E525" s="14" t="s">
        <v>65</v>
      </c>
      <c r="F525" s="15" t="str">
        <f>IFERROR(__xludf.DUMMYFUNCTION("GOOGLETRANSLATE(B525,""en"",""ar"")"),"حتى الآن")</f>
        <v>حتى الآن</v>
      </c>
    </row>
    <row r="526" ht="14.25" customHeight="1">
      <c r="A526" s="5"/>
      <c r="B526" s="2" t="s">
        <v>617</v>
      </c>
      <c r="C526" s="2">
        <v>31.0</v>
      </c>
      <c r="E526" s="14" t="s">
        <v>13</v>
      </c>
      <c r="F526" s="15" t="str">
        <f>IFERROR(__xludf.DUMMYFUNCTION("GOOGLETRANSLATE(B526,""en"",""ar"")"),"احضر")</f>
        <v>احضر</v>
      </c>
    </row>
    <row r="527" ht="14.25" customHeight="1">
      <c r="A527" s="5"/>
      <c r="B527" s="2" t="s">
        <v>618</v>
      </c>
      <c r="C527" s="2">
        <v>31.0</v>
      </c>
      <c r="E527" s="14" t="s">
        <v>84</v>
      </c>
      <c r="F527" s="15" t="str">
        <f>IFERROR(__xludf.DUMMYFUNCTION("GOOGLETRANSLATE(B527,""en"",""ar"")"),"صدفة")</f>
        <v>صدفة</v>
      </c>
    </row>
    <row r="528" ht="14.25" customHeight="1">
      <c r="A528" s="5"/>
      <c r="B528" s="2" t="s">
        <v>619</v>
      </c>
      <c r="C528" s="2">
        <v>31.0</v>
      </c>
      <c r="E528" s="14" t="s">
        <v>80</v>
      </c>
      <c r="F528" s="15" t="str">
        <f>IFERROR(__xludf.DUMMYFUNCTION("GOOGLETRANSLATE(B528,""en"",""ar"")"),"بيئة")</f>
        <v>بيئة</v>
      </c>
    </row>
    <row r="529" ht="14.25" customHeight="1">
      <c r="A529" s="5"/>
      <c r="B529" s="2" t="s">
        <v>620</v>
      </c>
      <c r="C529" s="2">
        <v>31.0</v>
      </c>
      <c r="E529" s="14" t="s">
        <v>31</v>
      </c>
      <c r="F529" s="15" t="str">
        <f>IFERROR(__xludf.DUMMYFUNCTION("GOOGLETRANSLATE(B529,""en"",""ar"")"),"كل واحد")</f>
        <v>كل واحد</v>
      </c>
    </row>
    <row r="530" ht="14.25" customHeight="1">
      <c r="A530" s="5"/>
      <c r="B530" s="2" t="s">
        <v>621</v>
      </c>
      <c r="C530" s="2">
        <v>31.0</v>
      </c>
      <c r="E530" s="14" t="s">
        <v>120</v>
      </c>
      <c r="F530" s="15" t="str">
        <f>IFERROR(__xludf.DUMMYFUNCTION("GOOGLETRANSLATE(B530,""en"",""ar"")"),"الشكل")</f>
        <v>الشكل</v>
      </c>
    </row>
    <row r="531" ht="14.25" customHeight="1">
      <c r="A531" s="5"/>
      <c r="B531" s="2" t="s">
        <v>622</v>
      </c>
      <c r="C531" s="2">
        <v>31.0</v>
      </c>
      <c r="E531" s="14" t="s">
        <v>13</v>
      </c>
      <c r="F531" s="15" t="str">
        <f>IFERROR(__xludf.DUMMYFUNCTION("GOOGLETRANSLATE(B531,""en"",""ar"")"),"تحسن")</f>
        <v>تحسن</v>
      </c>
    </row>
    <row r="532" ht="14.25" customHeight="1">
      <c r="A532" s="5"/>
      <c r="B532" s="2" t="s">
        <v>623</v>
      </c>
      <c r="C532" s="2">
        <v>31.0</v>
      </c>
      <c r="E532" s="14" t="s">
        <v>396</v>
      </c>
      <c r="F532" s="15" t="str">
        <f>IFERROR(__xludf.DUMMYFUNCTION("GOOGLETRANSLATE(B532,""en"",""ar"")"),"رجل")</f>
        <v>رجل</v>
      </c>
    </row>
    <row r="533" ht="14.25" customHeight="1">
      <c r="A533" s="5"/>
      <c r="B533" s="2" t="s">
        <v>624</v>
      </c>
      <c r="C533" s="2">
        <v>31.0</v>
      </c>
      <c r="E533" s="14" t="s">
        <v>120</v>
      </c>
      <c r="F533" s="15" t="str">
        <f>IFERROR(__xludf.DUMMYFUNCTION("GOOGLETRANSLATE(B533,""en"",""ar"")"),"نموذج")</f>
        <v>نموذج</v>
      </c>
    </row>
    <row r="534" ht="14.25" customHeight="1">
      <c r="A534" s="5"/>
      <c r="B534" s="2" t="s">
        <v>625</v>
      </c>
      <c r="C534" s="2">
        <v>31.0</v>
      </c>
      <c r="E534" s="14" t="s">
        <v>236</v>
      </c>
      <c r="F534" s="15" t="str">
        <f>IFERROR(__xludf.DUMMYFUNCTION("GOOGLETRANSLATE(B534,""en"",""ar"")"),"من الضروري")</f>
        <v>من الضروري</v>
      </c>
    </row>
    <row r="535" ht="14.25" customHeight="1">
      <c r="A535" s="5"/>
      <c r="B535" s="2" t="s">
        <v>626</v>
      </c>
      <c r="C535" s="2">
        <v>31.0</v>
      </c>
      <c r="E535" s="14" t="s">
        <v>236</v>
      </c>
      <c r="F535" s="15" t="str">
        <f>IFERROR(__xludf.DUMMYFUNCTION("GOOGLETRANSLATE(B535,""en"",""ar"")"),"إيجابي")</f>
        <v>إيجابي</v>
      </c>
    </row>
    <row r="536" ht="14.25" customHeight="1">
      <c r="A536" s="5"/>
      <c r="B536" s="2" t="s">
        <v>627</v>
      </c>
      <c r="C536" s="2">
        <v>31.0</v>
      </c>
      <c r="E536" s="14" t="s">
        <v>95</v>
      </c>
      <c r="F536" s="15" t="str">
        <f>IFERROR(__xludf.DUMMYFUNCTION("GOOGLETRANSLATE(B536,""en"",""ar"")"),"ينتج")</f>
        <v>ينتج</v>
      </c>
    </row>
    <row r="537" ht="14.25" customHeight="1">
      <c r="A537" s="5"/>
      <c r="B537" s="2" t="s">
        <v>628</v>
      </c>
      <c r="C537" s="2">
        <v>31.0</v>
      </c>
      <c r="E537" s="14" t="s">
        <v>95</v>
      </c>
      <c r="F537" s="15" t="str">
        <f>IFERROR(__xludf.DUMMYFUNCTION("GOOGLETRANSLATE(B537,""en"",""ar"")"),"بحث")</f>
        <v>بحث</v>
      </c>
    </row>
    <row r="538" ht="14.25" customHeight="1">
      <c r="A538" s="5"/>
      <c r="B538" s="2" t="s">
        <v>629</v>
      </c>
      <c r="C538" s="2">
        <v>31.0</v>
      </c>
      <c r="E538" s="14" t="s">
        <v>120</v>
      </c>
      <c r="F538" s="15" t="str">
        <f>IFERROR(__xludf.DUMMYFUNCTION("GOOGLETRANSLATE(B538,""en"",""ar"")"),"مصدر")</f>
        <v>مصدر</v>
      </c>
    </row>
    <row r="539" ht="14.25" customHeight="1">
      <c r="A539" s="5"/>
      <c r="B539" s="2" t="s">
        <v>630</v>
      </c>
      <c r="C539" s="2">
        <v>30.0</v>
      </c>
      <c r="E539" s="14" t="s">
        <v>84</v>
      </c>
      <c r="F539" s="15" t="str">
        <f>IFERROR(__xludf.DUMMYFUNCTION("GOOGLETRANSLATE(B539,""en"",""ar"")"),"بداية")</f>
        <v>بداية</v>
      </c>
    </row>
    <row r="540" ht="14.25" customHeight="1">
      <c r="A540" s="5"/>
      <c r="B540" s="2" t="s">
        <v>631</v>
      </c>
      <c r="C540" s="2">
        <v>30.0</v>
      </c>
      <c r="E540" s="14" t="s">
        <v>80</v>
      </c>
      <c r="F540" s="15" t="str">
        <f>IFERROR(__xludf.DUMMYFUNCTION("GOOGLETRANSLATE(B540,""en"",""ar"")"),"طفل")</f>
        <v>طفل</v>
      </c>
    </row>
    <row r="541" ht="14.25" customHeight="1">
      <c r="A541" s="5"/>
      <c r="B541" s="2" t="s">
        <v>632</v>
      </c>
      <c r="C541" s="2">
        <v>30.0</v>
      </c>
      <c r="E541" s="14" t="s">
        <v>120</v>
      </c>
      <c r="F541" s="15" t="str">
        <f>IFERROR(__xludf.DUMMYFUNCTION("GOOGLETRANSLATE(B541,""en"",""ar"")"),"الارض")</f>
        <v>الارض</v>
      </c>
    </row>
    <row r="542" ht="14.25" customHeight="1">
      <c r="A542" s="5"/>
      <c r="B542" s="2" t="s">
        <v>633</v>
      </c>
      <c r="C542" s="2">
        <v>30.0</v>
      </c>
      <c r="E542" s="14" t="s">
        <v>43</v>
      </c>
      <c r="F542" s="15" t="str">
        <f>IFERROR(__xludf.DUMMYFUNCTION("GOOGLETRANSLATE(B542,""en"",""ar"")"),"آخر")</f>
        <v>آخر</v>
      </c>
    </row>
    <row r="543" ht="14.25" customHeight="1">
      <c r="A543" s="5"/>
      <c r="B543" s="2" t="s">
        <v>634</v>
      </c>
      <c r="C543" s="2">
        <v>30.0</v>
      </c>
      <c r="E543" s="14" t="s">
        <v>113</v>
      </c>
      <c r="F543" s="15" t="str">
        <f>IFERROR(__xludf.DUMMYFUNCTION("GOOGLETRANSLATE(B543,""en"",""ar"")"),"صحي")</f>
        <v>صحي</v>
      </c>
    </row>
    <row r="544" ht="14.25" customHeight="1">
      <c r="A544" s="5"/>
      <c r="B544" s="2" t="s">
        <v>635</v>
      </c>
      <c r="C544" s="2">
        <v>30.0</v>
      </c>
      <c r="E544" s="14" t="s">
        <v>80</v>
      </c>
      <c r="F544" s="15" t="str">
        <f>IFERROR(__xludf.DUMMYFUNCTION("GOOGLETRANSLATE(B544,""en"",""ar"")"),"نموذج")</f>
        <v>نموذج</v>
      </c>
    </row>
    <row r="545" ht="14.25" customHeight="1">
      <c r="A545" s="5"/>
      <c r="B545" s="2" t="s">
        <v>636</v>
      </c>
      <c r="C545" s="2">
        <v>30.0</v>
      </c>
      <c r="E545" s="14" t="s">
        <v>13</v>
      </c>
      <c r="F545" s="15" t="str">
        <f>IFERROR(__xludf.DUMMYFUNCTION("GOOGLETRANSLATE(B545,""en"",""ar"")"),"الحفاظ")</f>
        <v>الحفاظ</v>
      </c>
    </row>
    <row r="546" ht="14.25" customHeight="1">
      <c r="A546" s="5"/>
      <c r="B546" s="2" t="s">
        <v>637</v>
      </c>
      <c r="C546" s="2">
        <v>30.0</v>
      </c>
      <c r="E546" s="14" t="s">
        <v>80</v>
      </c>
      <c r="F546" s="15" t="str">
        <f>IFERROR(__xludf.DUMMYFUNCTION("GOOGLETRANSLATE(B546,""en"",""ar"")"),"شهر")</f>
        <v>شهر</v>
      </c>
    </row>
    <row r="547" ht="14.25" customHeight="1">
      <c r="A547" s="5"/>
      <c r="B547" s="2" t="s">
        <v>638</v>
      </c>
      <c r="C547" s="2">
        <v>30.0</v>
      </c>
      <c r="E547" s="14" t="s">
        <v>406</v>
      </c>
      <c r="F547" s="15" t="str">
        <f>IFERROR(__xludf.DUMMYFUNCTION("GOOGLETRANSLATE(B547,""en"",""ar"")"),"الحالي")</f>
        <v>الحالي</v>
      </c>
    </row>
    <row r="548" ht="14.25" customHeight="1">
      <c r="A548" s="5"/>
      <c r="B548" s="2" t="s">
        <v>639</v>
      </c>
      <c r="C548" s="2">
        <v>30.0</v>
      </c>
      <c r="E548" s="14" t="s">
        <v>120</v>
      </c>
      <c r="F548" s="15" t="str">
        <f>IFERROR(__xludf.DUMMYFUNCTION("GOOGLETRANSLATE(B548,""en"",""ar"")"),"برنامج")</f>
        <v>برنامج</v>
      </c>
    </row>
    <row r="549" ht="14.25" customHeight="1">
      <c r="A549" s="5"/>
      <c r="B549" s="2" t="s">
        <v>640</v>
      </c>
      <c r="C549" s="2">
        <v>30.0</v>
      </c>
      <c r="E549" s="14" t="s">
        <v>95</v>
      </c>
      <c r="F549" s="15" t="str">
        <f>IFERROR(__xludf.DUMMYFUNCTION("GOOGLETRANSLATE(B549,""en"",""ar"")"),"أنفق")</f>
        <v>أنفق</v>
      </c>
    </row>
    <row r="550" ht="14.25" customHeight="1">
      <c r="A550" s="5"/>
      <c r="B550" s="2" t="s">
        <v>641</v>
      </c>
      <c r="C550" s="2">
        <v>30.0</v>
      </c>
      <c r="E550" s="14" t="s">
        <v>95</v>
      </c>
      <c r="F550" s="15" t="str">
        <f>IFERROR(__xludf.DUMMYFUNCTION("GOOGLETRANSLATE(B550,""en"",""ar"")"),"حديث")</f>
        <v>حديث</v>
      </c>
    </row>
    <row r="551" ht="14.25" customHeight="1">
      <c r="A551" s="5"/>
      <c r="B551" s="2" t="s">
        <v>642</v>
      </c>
      <c r="C551" s="2">
        <v>30.0</v>
      </c>
      <c r="E551" s="14" t="s">
        <v>80</v>
      </c>
      <c r="F551" s="15" t="str">
        <f>IFERROR(__xludf.DUMMYFUNCTION("GOOGLETRANSLATE(B551,""en"",""ar"")"),"حقيقة")</f>
        <v>حقيقة</v>
      </c>
    </row>
    <row r="552" ht="14.25" customHeight="1">
      <c r="A552" s="5"/>
      <c r="B552" s="2" t="s">
        <v>643</v>
      </c>
      <c r="C552" s="2">
        <v>30.0</v>
      </c>
      <c r="E552" s="14" t="s">
        <v>644</v>
      </c>
      <c r="F552" s="15" t="str">
        <f>IFERROR(__xludf.DUMMYFUNCTION("GOOGLETRANSLATE(B552,""en"",""ar"")"),"منزعج")</f>
        <v>منزعج</v>
      </c>
    </row>
    <row r="553" ht="14.25" customHeight="1">
      <c r="A553" s="5"/>
      <c r="B553" s="2" t="s">
        <v>645</v>
      </c>
      <c r="C553" s="2">
        <v>29.0</v>
      </c>
      <c r="E553" s="14" t="s">
        <v>13</v>
      </c>
      <c r="F553" s="15" t="str">
        <f>IFERROR(__xludf.DUMMYFUNCTION("GOOGLETRANSLATE(B553,""en"",""ar"")"),"يبدأ")</f>
        <v>يبدأ</v>
      </c>
    </row>
    <row r="554" ht="14.25" customHeight="1">
      <c r="A554" s="5"/>
      <c r="B554" s="2" t="s">
        <v>646</v>
      </c>
      <c r="C554" s="2">
        <v>29.0</v>
      </c>
      <c r="E554" s="14" t="s">
        <v>149</v>
      </c>
      <c r="F554" s="15" t="str">
        <f>IFERROR(__xludf.DUMMYFUNCTION("GOOGLETRANSLATE(B554,""en"",""ar"")"),"دجاج")</f>
        <v>دجاج</v>
      </c>
    </row>
    <row r="555" ht="14.25" customHeight="1">
      <c r="A555" s="5"/>
      <c r="B555" s="2" t="s">
        <v>647</v>
      </c>
      <c r="C555" s="2">
        <v>29.0</v>
      </c>
      <c r="E555" s="14" t="s">
        <v>648</v>
      </c>
      <c r="F555" s="15" t="str">
        <f>IFERROR(__xludf.DUMMYFUNCTION("GOOGLETRANSLATE(B555,""en"",""ar"")"),"أغلق")</f>
        <v>أغلق</v>
      </c>
    </row>
    <row r="556" ht="14.25" customHeight="1">
      <c r="A556" s="5"/>
      <c r="B556" s="2" t="s">
        <v>649</v>
      </c>
      <c r="C556" s="2">
        <v>29.0</v>
      </c>
      <c r="E556" s="14" t="s">
        <v>236</v>
      </c>
      <c r="F556" s="15" t="str">
        <f>IFERROR(__xludf.DUMMYFUNCTION("GOOGLETRANSLATE(B556,""en"",""ar"")"),"خلاق")</f>
        <v>خلاق</v>
      </c>
    </row>
    <row r="557" ht="14.25" customHeight="1">
      <c r="A557" s="5"/>
      <c r="B557" s="2" t="s">
        <v>650</v>
      </c>
      <c r="C557" s="2">
        <v>29.0</v>
      </c>
      <c r="E557" s="14" t="s">
        <v>120</v>
      </c>
      <c r="F557" s="15" t="str">
        <f>IFERROR(__xludf.DUMMYFUNCTION("GOOGLETRANSLATE(B557,""en"",""ar"")"),"التصميم")</f>
        <v>التصميم</v>
      </c>
    </row>
    <row r="558" ht="14.25" customHeight="1">
      <c r="A558" s="5"/>
      <c r="B558" s="2" t="s">
        <v>651</v>
      </c>
      <c r="C558" s="2">
        <v>29.0</v>
      </c>
      <c r="E558" s="14" t="s">
        <v>120</v>
      </c>
      <c r="F558" s="15" t="str">
        <f>IFERROR(__xludf.DUMMYFUNCTION("GOOGLETRANSLATE(B558,""en"",""ar"")"),"خاصية")</f>
        <v>خاصية</v>
      </c>
    </row>
    <row r="559" ht="14.25" customHeight="1">
      <c r="A559" s="5"/>
      <c r="B559" s="2" t="s">
        <v>652</v>
      </c>
      <c r="C559" s="2">
        <v>29.0</v>
      </c>
      <c r="E559" s="14" t="s">
        <v>113</v>
      </c>
      <c r="F559" s="15" t="str">
        <f>IFERROR(__xludf.DUMMYFUNCTION("GOOGLETRANSLATE(B559,""en"",""ar"")"),"الأمور المالية")</f>
        <v>الأمور المالية</v>
      </c>
    </row>
    <row r="560" ht="14.25" customHeight="1">
      <c r="A560" s="5"/>
      <c r="B560" s="2" t="s">
        <v>653</v>
      </c>
      <c r="C560" s="2">
        <v>29.0</v>
      </c>
      <c r="E560" s="14" t="s">
        <v>84</v>
      </c>
      <c r="F560" s="15" t="str">
        <f>IFERROR(__xludf.DUMMYFUNCTION("GOOGLETRANSLATE(B560,""en"",""ar"")"),"رأس")</f>
        <v>رأس</v>
      </c>
    </row>
    <row r="561" ht="14.25" customHeight="1">
      <c r="A561" s="5"/>
      <c r="B561" s="2" t="s">
        <v>654</v>
      </c>
      <c r="C561" s="2">
        <v>29.0</v>
      </c>
      <c r="E561" s="14" t="s">
        <v>80</v>
      </c>
      <c r="F561" s="15" t="str">
        <f>IFERROR(__xludf.DUMMYFUNCTION("GOOGLETRANSLATE(B561,""en"",""ar"")"),"تسويق")</f>
        <v>تسويق</v>
      </c>
    </row>
    <row r="562" ht="14.25" customHeight="1">
      <c r="A562" s="5"/>
      <c r="B562" s="2" t="s">
        <v>655</v>
      </c>
      <c r="C562" s="2">
        <v>29.0</v>
      </c>
      <c r="E562" s="14" t="s">
        <v>149</v>
      </c>
      <c r="F562" s="15" t="str">
        <f>IFERROR(__xludf.DUMMYFUNCTION("GOOGLETRANSLATE(B562,""en"",""ar"")"),"مواد")</f>
        <v>مواد</v>
      </c>
    </row>
    <row r="563" ht="14.25" customHeight="1">
      <c r="A563" s="5"/>
      <c r="B563" s="2" t="s">
        <v>656</v>
      </c>
      <c r="C563" s="2">
        <v>29.0</v>
      </c>
      <c r="E563" s="14" t="s">
        <v>113</v>
      </c>
      <c r="F563" s="15" t="str">
        <f>IFERROR(__xludf.DUMMYFUNCTION("GOOGLETRANSLATE(B563,""en"",""ar"")"),"طبي")</f>
        <v>طبي</v>
      </c>
    </row>
    <row r="564" ht="14.25" customHeight="1">
      <c r="A564" s="5"/>
      <c r="B564" s="2" t="s">
        <v>657</v>
      </c>
      <c r="C564" s="2">
        <v>29.0</v>
      </c>
      <c r="E564" s="14" t="s">
        <v>120</v>
      </c>
      <c r="F564" s="15" t="str">
        <f>IFERROR(__xludf.DUMMYFUNCTION("GOOGLETRANSLATE(B564,""en"",""ar"")"),"غاية")</f>
        <v>غاية</v>
      </c>
    </row>
    <row r="565" ht="14.25" customHeight="1">
      <c r="A565" s="5"/>
      <c r="B565" s="2" t="s">
        <v>658</v>
      </c>
      <c r="C565" s="2">
        <v>29.0</v>
      </c>
      <c r="E565" s="14" t="s">
        <v>120</v>
      </c>
      <c r="F565" s="15" t="str">
        <f>IFERROR(__xludf.DUMMYFUNCTION("GOOGLETRANSLATE(B565,""en"",""ar"")"),"سؤال")</f>
        <v>سؤال</v>
      </c>
    </row>
    <row r="566" ht="14.25" customHeight="1">
      <c r="A566" s="5"/>
      <c r="B566" s="2" t="s">
        <v>659</v>
      </c>
      <c r="C566" s="2">
        <v>29.0</v>
      </c>
      <c r="E566" s="14" t="s">
        <v>120</v>
      </c>
      <c r="F566" s="15" t="str">
        <f>IFERROR(__xludf.DUMMYFUNCTION("GOOGLETRANSLATE(B566,""en"",""ar"")"),"صخر")</f>
        <v>صخر</v>
      </c>
    </row>
    <row r="567" ht="14.25" customHeight="1">
      <c r="A567" s="5"/>
      <c r="B567" s="2" t="s">
        <v>660</v>
      </c>
      <c r="C567" s="2">
        <v>29.0</v>
      </c>
      <c r="E567" s="14" t="s">
        <v>84</v>
      </c>
      <c r="F567" s="15" t="str">
        <f>IFERROR(__xludf.DUMMYFUNCTION("GOOGLETRANSLATE(B567,""en"",""ar"")"),"ملح")</f>
        <v>ملح</v>
      </c>
    </row>
    <row r="568" ht="14.25" customHeight="1">
      <c r="A568" s="5"/>
      <c r="B568" s="2" t="s">
        <v>661</v>
      </c>
      <c r="C568" s="2">
        <v>29.0</v>
      </c>
      <c r="E568" s="14" t="s">
        <v>95</v>
      </c>
      <c r="F568" s="15" t="str">
        <f>IFERROR(__xludf.DUMMYFUNCTION("GOOGLETRANSLATE(B568,""en"",""ar"")"),"أقول")</f>
        <v>أقول</v>
      </c>
    </row>
    <row r="569" ht="14.25" customHeight="1">
      <c r="A569" s="5"/>
      <c r="B569" s="2" t="s">
        <v>662</v>
      </c>
      <c r="C569" s="2">
        <v>29.0</v>
      </c>
      <c r="E569" s="14" t="s">
        <v>31</v>
      </c>
      <c r="F569" s="15" t="str">
        <f>IFERROR(__xludf.DUMMYFUNCTION("GOOGLETRANSLATE(B569,""en"",""ar"")"),"أنفسهم")</f>
        <v>أنفسهم</v>
      </c>
    </row>
    <row r="570" ht="14.25" customHeight="1">
      <c r="A570" s="5"/>
      <c r="B570" s="2" t="s">
        <v>663</v>
      </c>
      <c r="C570" s="2">
        <v>29.0</v>
      </c>
      <c r="E570" s="14" t="s">
        <v>113</v>
      </c>
      <c r="F570" s="15" t="str">
        <f>IFERROR(__xludf.DUMMYFUNCTION("GOOGLETRANSLATE(B570,""en"",""ar"")"),"التقليديين")</f>
        <v>التقليديين</v>
      </c>
    </row>
    <row r="571" ht="14.25" customHeight="1">
      <c r="A571" s="5"/>
      <c r="B571" s="2" t="s">
        <v>664</v>
      </c>
      <c r="C571" s="2">
        <v>29.0</v>
      </c>
      <c r="E571" s="14" t="s">
        <v>80</v>
      </c>
      <c r="F571" s="15" t="str">
        <f>IFERROR(__xludf.DUMMYFUNCTION("GOOGLETRANSLATE(B571,""en"",""ar"")"),"جامعة")</f>
        <v>جامعة</v>
      </c>
    </row>
    <row r="572" ht="14.25" customHeight="1">
      <c r="A572" s="5"/>
      <c r="B572" s="2" t="s">
        <v>665</v>
      </c>
      <c r="C572" s="2">
        <v>29.0</v>
      </c>
      <c r="E572" s="14" t="s">
        <v>80</v>
      </c>
      <c r="F572" s="15" t="str">
        <f>IFERROR(__xludf.DUMMYFUNCTION("GOOGLETRANSLATE(B572,""en"",""ar"")"),"جاري الكتابة")</f>
        <v>جاري الكتابة</v>
      </c>
    </row>
    <row r="573" ht="14.25" customHeight="1">
      <c r="A573" s="5"/>
      <c r="B573" s="2" t="s">
        <v>666</v>
      </c>
      <c r="C573" s="2">
        <v>28.0</v>
      </c>
      <c r="E573" s="14" t="s">
        <v>120</v>
      </c>
      <c r="F573" s="15" t="str">
        <f>IFERROR(__xludf.DUMMYFUNCTION("GOOGLETRANSLATE(B573,""en"",""ar"")"),"فعل")</f>
        <v>فعل</v>
      </c>
    </row>
    <row r="574" ht="14.25" customHeight="1">
      <c r="A574" s="5"/>
      <c r="B574" s="2" t="s">
        <v>667</v>
      </c>
      <c r="C574" s="2">
        <v>28.0</v>
      </c>
      <c r="E574" s="14" t="s">
        <v>80</v>
      </c>
      <c r="F574" s="15" t="str">
        <f>IFERROR(__xludf.DUMMYFUNCTION("GOOGLETRANSLATE(B574,""en"",""ar"")"),"مقالة - سلعة")</f>
        <v>مقالة - سلعة</v>
      </c>
    </row>
    <row r="575" ht="14.25" customHeight="1">
      <c r="A575" s="5"/>
      <c r="B575" s="2" t="s">
        <v>668</v>
      </c>
      <c r="C575" s="2">
        <v>28.0</v>
      </c>
      <c r="E575" s="14" t="s">
        <v>120</v>
      </c>
      <c r="F575" s="15" t="str">
        <f>IFERROR(__xludf.DUMMYFUNCTION("GOOGLETRANSLATE(B575,""en"",""ar"")"),"ولادة")</f>
        <v>ولادة</v>
      </c>
    </row>
    <row r="576" ht="14.25" customHeight="1">
      <c r="A576" s="5"/>
      <c r="B576" s="2" t="s">
        <v>669</v>
      </c>
      <c r="C576" s="2">
        <v>28.0</v>
      </c>
      <c r="E576" s="14" t="s">
        <v>149</v>
      </c>
      <c r="F576" s="15" t="str">
        <f>IFERROR(__xludf.DUMMYFUNCTION("GOOGLETRANSLATE(B576,""en"",""ar"")"),"جمل")</f>
        <v>جمل</v>
      </c>
    </row>
    <row r="577" ht="14.25" customHeight="1">
      <c r="A577" s="5"/>
      <c r="B577" s="2" t="s">
        <v>670</v>
      </c>
      <c r="C577" s="2">
        <v>28.0</v>
      </c>
      <c r="E577" s="14" t="s">
        <v>95</v>
      </c>
      <c r="F577" s="15" t="str">
        <f>IFERROR(__xludf.DUMMYFUNCTION("GOOGLETRANSLATE(B577,""en"",""ar"")"),"كلفة")</f>
        <v>كلفة</v>
      </c>
    </row>
    <row r="578" ht="14.25" customHeight="1">
      <c r="A578" s="5"/>
      <c r="B578" s="2" t="s">
        <v>671</v>
      </c>
      <c r="C578" s="2">
        <v>28.0</v>
      </c>
      <c r="E578" s="14" t="s">
        <v>80</v>
      </c>
      <c r="F578" s="15" t="str">
        <f>IFERROR(__xludf.DUMMYFUNCTION("GOOGLETRANSLATE(B578,""en"",""ar"")")," قسم، أقسام")</f>
        <v> قسم، أقسام</v>
      </c>
    </row>
    <row r="579" ht="14.25" customHeight="1">
      <c r="A579" s="5"/>
      <c r="B579" s="2" t="s">
        <v>672</v>
      </c>
      <c r="C579" s="2">
        <v>28.0</v>
      </c>
      <c r="E579" s="14" t="s">
        <v>80</v>
      </c>
      <c r="F579" s="15" t="str">
        <f>IFERROR(__xludf.DUMMYFUNCTION("GOOGLETRANSLATE(B579,""en"",""ar"")"),"فرق")</f>
        <v>فرق</v>
      </c>
    </row>
    <row r="580" ht="14.25" customHeight="1">
      <c r="A580" s="5"/>
      <c r="B580" s="2" t="s">
        <v>673</v>
      </c>
      <c r="C580" s="2">
        <v>28.0</v>
      </c>
      <c r="E580" s="14" t="s">
        <v>120</v>
      </c>
      <c r="F580" s="15" t="str">
        <f>IFERROR(__xludf.DUMMYFUNCTION("GOOGLETRANSLATE(B580,""en"",""ar"")"),"كلب")</f>
        <v>كلب</v>
      </c>
    </row>
    <row r="581" ht="14.25" customHeight="1">
      <c r="A581" s="5"/>
      <c r="B581" s="2" t="s">
        <v>674</v>
      </c>
      <c r="C581" s="2">
        <v>28.0</v>
      </c>
      <c r="E581" s="14" t="s">
        <v>95</v>
      </c>
      <c r="F581" s="15" t="str">
        <f>IFERROR(__xludf.DUMMYFUNCTION("GOOGLETRANSLATE(B581,""en"",""ar"")"),"قطع")</f>
        <v>قطع</v>
      </c>
    </row>
    <row r="582" ht="14.25" customHeight="1">
      <c r="A582" s="5"/>
      <c r="B582" s="2" t="s">
        <v>675</v>
      </c>
      <c r="C582" s="2">
        <v>28.0</v>
      </c>
      <c r="E582" s="14" t="s">
        <v>13</v>
      </c>
      <c r="F582" s="15" t="str">
        <f>IFERROR(__xludf.DUMMYFUNCTION("GOOGLETRANSLATE(B582,""en"",""ar"")"),"يوجد")</f>
        <v>يوجد</v>
      </c>
    </row>
    <row r="583" ht="14.25" customHeight="1">
      <c r="A583" s="5"/>
      <c r="B583" s="2" t="s">
        <v>676</v>
      </c>
      <c r="C583" s="2">
        <v>28.0</v>
      </c>
      <c r="E583" s="14" t="s">
        <v>113</v>
      </c>
      <c r="F583" s="15" t="str">
        <f>IFERROR(__xludf.DUMMYFUNCTION("GOOGLETRANSLATE(B583,""en"",""ar"")"),"الفيدرالية")</f>
        <v>الفيدرالية</v>
      </c>
    </row>
    <row r="584" ht="14.25" customHeight="1">
      <c r="A584" s="5"/>
      <c r="B584" s="2" t="s">
        <v>677</v>
      </c>
      <c r="C584" s="2">
        <v>28.0</v>
      </c>
      <c r="E584" s="14" t="s">
        <v>80</v>
      </c>
      <c r="F584" s="15" t="str">
        <f>IFERROR(__xludf.DUMMYFUNCTION("GOOGLETRANSLATE(B584,""en"",""ar"")"),"هدف")</f>
        <v>هدف</v>
      </c>
    </row>
    <row r="585" ht="14.25" customHeight="1">
      <c r="A585" s="5"/>
      <c r="B585" s="2" t="s">
        <v>678</v>
      </c>
      <c r="C585" s="2">
        <v>28.0</v>
      </c>
      <c r="E585" s="14" t="s">
        <v>406</v>
      </c>
      <c r="F585" s="15" t="str">
        <f>IFERROR(__xludf.DUMMYFUNCTION("GOOGLETRANSLATE(B585,""en"",""ar"")"),"لون أخضر")</f>
        <v>لون أخضر</v>
      </c>
    </row>
    <row r="586" ht="14.25" customHeight="1">
      <c r="A586" s="5"/>
      <c r="B586" s="2" t="s">
        <v>679</v>
      </c>
      <c r="C586" s="2">
        <v>28.0</v>
      </c>
      <c r="E586" s="14" t="s">
        <v>337</v>
      </c>
      <c r="F586" s="15" t="str">
        <f>IFERROR(__xludf.DUMMYFUNCTION("GOOGLETRANSLATE(B586,""en"",""ar"")"),"متأخر")</f>
        <v>متأخر</v>
      </c>
    </row>
    <row r="587" ht="14.25" customHeight="1">
      <c r="A587" s="5"/>
      <c r="B587" s="2" t="s">
        <v>680</v>
      </c>
      <c r="C587" s="2">
        <v>28.0</v>
      </c>
      <c r="E587" s="14" t="s">
        <v>80</v>
      </c>
      <c r="F587" s="15" t="str">
        <f>IFERROR(__xludf.DUMMYFUNCTION("GOOGLETRANSLATE(B587,""en"",""ar"")"),"الإخبارية")</f>
        <v>الإخبارية</v>
      </c>
    </row>
    <row r="588" ht="14.25" customHeight="1">
      <c r="A588" s="5"/>
      <c r="B588" s="2" t="s">
        <v>681</v>
      </c>
      <c r="C588" s="2">
        <v>28.0</v>
      </c>
      <c r="E588" s="14" t="s">
        <v>120</v>
      </c>
      <c r="F588" s="15" t="str">
        <f>IFERROR(__xludf.DUMMYFUNCTION("GOOGLETRANSLATE(B588,""en"",""ar"")"),"هدف")</f>
        <v>هدف</v>
      </c>
    </row>
    <row r="589" ht="14.25" customHeight="1">
      <c r="A589" s="5"/>
      <c r="B589" s="2" t="s">
        <v>682</v>
      </c>
      <c r="C589" s="2">
        <v>28.0</v>
      </c>
      <c r="E589" s="14" t="s">
        <v>120</v>
      </c>
      <c r="F589" s="15" t="str">
        <f>IFERROR(__xludf.DUMMYFUNCTION("GOOGLETRANSLATE(B589,""en"",""ar"")"),"مقياس")</f>
        <v>مقياس</v>
      </c>
    </row>
    <row r="590" ht="14.25" customHeight="1">
      <c r="A590" s="5"/>
      <c r="B590" s="2" t="s">
        <v>683</v>
      </c>
      <c r="C590" s="2">
        <v>28.0</v>
      </c>
      <c r="E590" s="14" t="s">
        <v>120</v>
      </c>
      <c r="F590" s="15" t="str">
        <f>IFERROR(__xludf.DUMMYFUNCTION("GOOGLETRANSLATE(B590,""en"",""ar"")"),"الشمس")</f>
        <v>الشمس</v>
      </c>
    </row>
    <row r="591" ht="14.25" customHeight="1">
      <c r="A591" s="5"/>
      <c r="B591" s="2" t="s">
        <v>684</v>
      </c>
      <c r="C591" s="2">
        <v>28.0</v>
      </c>
      <c r="E591" s="14" t="s">
        <v>95</v>
      </c>
      <c r="F591" s="15" t="str">
        <f>IFERROR(__xludf.DUMMYFUNCTION("GOOGLETRANSLATE(B591,""en"",""ar"")"),"الدعم")</f>
        <v>الدعم</v>
      </c>
    </row>
    <row r="592" ht="14.25" customHeight="1">
      <c r="A592" s="5"/>
      <c r="B592" s="2" t="s">
        <v>685</v>
      </c>
      <c r="C592" s="2">
        <v>28.0</v>
      </c>
      <c r="E592" s="14" t="s">
        <v>13</v>
      </c>
      <c r="F592" s="15" t="str">
        <f>IFERROR(__xludf.DUMMYFUNCTION("GOOGLETRANSLATE(B592,""en"",""ar"")"),"ينزع")</f>
        <v>ينزع</v>
      </c>
    </row>
    <row r="593" ht="14.25" customHeight="1">
      <c r="A593" s="5"/>
      <c r="B593" s="2" t="s">
        <v>686</v>
      </c>
      <c r="C593" s="2">
        <v>28.0</v>
      </c>
      <c r="E593" s="14" t="s">
        <v>43</v>
      </c>
      <c r="F593" s="15" t="str">
        <f>IFERROR(__xludf.DUMMYFUNCTION("GOOGLETRANSLATE(B593,""en"",""ar"")"),"هكذا")</f>
        <v>هكذا</v>
      </c>
    </row>
    <row r="594" ht="14.25" customHeight="1">
      <c r="A594" s="5"/>
      <c r="B594" s="2" t="s">
        <v>687</v>
      </c>
      <c r="C594" s="2">
        <v>27.0</v>
      </c>
      <c r="E594" s="14" t="s">
        <v>80</v>
      </c>
      <c r="F594" s="15" t="str">
        <f>IFERROR(__xludf.DUMMYFUNCTION("GOOGLETRANSLATE(B594,""en"",""ar"")"),"جمهور")</f>
        <v>جمهور</v>
      </c>
    </row>
    <row r="595" ht="14.25" customHeight="1">
      <c r="A595" s="5"/>
      <c r="B595" s="2" t="s">
        <v>688</v>
      </c>
      <c r="C595" s="2">
        <v>27.0</v>
      </c>
      <c r="E595" s="14" t="s">
        <v>13</v>
      </c>
      <c r="F595" s="15" t="str">
        <f>IFERROR(__xludf.DUMMYFUNCTION("GOOGLETRANSLATE(B595,""en"",""ar"")"),"التمتع")</f>
        <v>التمتع</v>
      </c>
    </row>
    <row r="596" ht="14.25" customHeight="1">
      <c r="A596" s="5"/>
      <c r="B596" s="2" t="s">
        <v>689</v>
      </c>
      <c r="C596" s="2">
        <v>27.0</v>
      </c>
      <c r="E596" s="14" t="s">
        <v>113</v>
      </c>
      <c r="F596" s="15" t="str">
        <f>IFERROR(__xludf.DUMMYFUNCTION("GOOGLETRANSLATE(B596,""en"",""ar"")"),"بأكمله")</f>
        <v>بأكمله</v>
      </c>
    </row>
    <row r="597" ht="14.25" customHeight="1">
      <c r="A597" s="5"/>
      <c r="B597" s="2" t="s">
        <v>690</v>
      </c>
      <c r="C597" s="2">
        <v>27.0</v>
      </c>
      <c r="E597" s="14" t="s">
        <v>80</v>
      </c>
      <c r="F597" s="15" t="str">
        <f>IFERROR(__xludf.DUMMYFUNCTION("GOOGLETRANSLATE(B597,""en"",""ar"")"),"صيد السمك")</f>
        <v>صيد السمك</v>
      </c>
    </row>
    <row r="598" ht="14.25" customHeight="1">
      <c r="A598" s="5"/>
      <c r="B598" s="2" t="s">
        <v>691</v>
      </c>
      <c r="C598" s="2">
        <v>27.0</v>
      </c>
      <c r="E598" s="14" t="s">
        <v>510</v>
      </c>
      <c r="F598" s="15" t="str">
        <f>IFERROR(__xludf.DUMMYFUNCTION("GOOGLETRANSLATE(B598,""en"",""ar"")"),"لائق بدنيا")</f>
        <v>لائق بدنيا</v>
      </c>
    </row>
    <row r="599" ht="14.25" customHeight="1">
      <c r="A599" s="5"/>
      <c r="B599" s="2" t="s">
        <v>692</v>
      </c>
      <c r="C599" s="2">
        <v>27.0</v>
      </c>
      <c r="E599" s="14" t="s">
        <v>236</v>
      </c>
      <c r="F599" s="15" t="str">
        <f>IFERROR(__xludf.DUMMYFUNCTION("GOOGLETRANSLATE(B599,""en"",""ar"")"),"مسرور")</f>
        <v>مسرور</v>
      </c>
    </row>
    <row r="600" ht="14.25" customHeight="1">
      <c r="A600" s="5"/>
      <c r="B600" s="2" t="s">
        <v>693</v>
      </c>
      <c r="C600" s="2">
        <v>27.0</v>
      </c>
      <c r="E600" s="14" t="s">
        <v>80</v>
      </c>
      <c r="F600" s="15" t="str">
        <f>IFERROR(__xludf.DUMMYFUNCTION("GOOGLETRANSLATE(B600,""en"",""ar"")"),"نمو")</f>
        <v>نمو</v>
      </c>
    </row>
    <row r="601" ht="14.25" customHeight="1">
      <c r="A601" s="5"/>
      <c r="B601" s="2" t="s">
        <v>694</v>
      </c>
      <c r="C601" s="2">
        <v>27.0</v>
      </c>
      <c r="E601" s="14" t="s">
        <v>80</v>
      </c>
      <c r="F601" s="15" t="str">
        <f>IFERROR(__xludf.DUMMYFUNCTION("GOOGLETRANSLATE(B601,""en"",""ar"")"),"الإيرادات")</f>
        <v>الإيرادات</v>
      </c>
    </row>
    <row r="602" ht="14.25" customHeight="1">
      <c r="A602" s="5"/>
      <c r="B602" s="2" t="s">
        <v>695</v>
      </c>
      <c r="C602" s="2">
        <v>27.0</v>
      </c>
      <c r="E602" s="14" t="s">
        <v>80</v>
      </c>
      <c r="F602" s="15" t="str">
        <f>IFERROR(__xludf.DUMMYFUNCTION("GOOGLETRANSLATE(B602,""en"",""ar"")"),"زواج")</f>
        <v>زواج</v>
      </c>
    </row>
    <row r="603" ht="14.25" customHeight="1">
      <c r="A603" s="5"/>
      <c r="B603" s="2" t="s">
        <v>696</v>
      </c>
      <c r="C603" s="2">
        <v>27.0</v>
      </c>
      <c r="E603" s="14" t="s">
        <v>120</v>
      </c>
      <c r="F603" s="15" t="str">
        <f>IFERROR(__xludf.DUMMYFUNCTION("GOOGLETRANSLATE(B603,""en"",""ar"")"),"ملاحظة")</f>
        <v>ملاحظة</v>
      </c>
    </row>
    <row r="604" ht="14.25" customHeight="1">
      <c r="A604" s="5"/>
      <c r="B604" s="2" t="s">
        <v>697</v>
      </c>
      <c r="C604" s="2">
        <v>27.0</v>
      </c>
      <c r="E604" s="14" t="s">
        <v>13</v>
      </c>
      <c r="F604" s="15" t="str">
        <f>IFERROR(__xludf.DUMMYFUNCTION("GOOGLETRANSLATE(B604,""en"",""ar"")"),"نفذ")</f>
        <v>نفذ</v>
      </c>
    </row>
    <row r="605" ht="14.25" customHeight="1">
      <c r="A605" s="5"/>
      <c r="B605" s="2" t="s">
        <v>698</v>
      </c>
      <c r="C605" s="2">
        <v>27.0</v>
      </c>
      <c r="E605" s="14" t="s">
        <v>120</v>
      </c>
      <c r="F605" s="15" t="str">
        <f>IFERROR(__xludf.DUMMYFUNCTION("GOOGLETRANSLATE(B605,""en"",""ar"")"),"ربح")</f>
        <v>ربح</v>
      </c>
    </row>
    <row r="606" ht="14.25" customHeight="1">
      <c r="A606" s="5"/>
      <c r="B606" s="2" t="s">
        <v>699</v>
      </c>
      <c r="C606" s="2">
        <v>27.0</v>
      </c>
      <c r="E606" s="14" t="s">
        <v>337</v>
      </c>
      <c r="F606" s="15" t="str">
        <f>IFERROR(__xludf.DUMMYFUNCTION("GOOGLETRANSLATE(B606,""en"",""ar"")"),"مناسب")</f>
        <v>مناسب</v>
      </c>
    </row>
    <row r="607" ht="14.25" customHeight="1">
      <c r="A607" s="5"/>
      <c r="B607" s="2" t="s">
        <v>700</v>
      </c>
      <c r="C607" s="2">
        <v>27.0</v>
      </c>
      <c r="E607" s="14" t="s">
        <v>88</v>
      </c>
      <c r="F607" s="15" t="str">
        <f>IFERROR(__xludf.DUMMYFUNCTION("GOOGLETRANSLATE(B607,""en"",""ar"")"),"ذات صلة")</f>
        <v>ذات صلة</v>
      </c>
    </row>
    <row r="608" ht="14.25" customHeight="1">
      <c r="A608" s="5"/>
      <c r="B608" s="2" t="s">
        <v>701</v>
      </c>
      <c r="C608" s="2">
        <v>27.0</v>
      </c>
      <c r="E608" s="14" t="s">
        <v>95</v>
      </c>
      <c r="F608" s="15" t="str">
        <f>IFERROR(__xludf.DUMMYFUNCTION("GOOGLETRANSLATE(B608,""en"",""ar"")"),"إزالة")</f>
        <v>إزالة</v>
      </c>
    </row>
    <row r="609" ht="14.25" customHeight="1">
      <c r="A609" s="5"/>
      <c r="B609" s="2" t="s">
        <v>702</v>
      </c>
      <c r="C609" s="2">
        <v>27.0</v>
      </c>
      <c r="E609" s="14" t="s">
        <v>120</v>
      </c>
      <c r="F609" s="15" t="str">
        <f>IFERROR(__xludf.DUMMYFUNCTION("GOOGLETRANSLATE(B609,""en"",""ar"")"),"تأجير")</f>
        <v>تأجير</v>
      </c>
    </row>
    <row r="610" ht="14.25" customHeight="1">
      <c r="A610" s="5"/>
      <c r="B610" s="2" t="s">
        <v>703</v>
      </c>
      <c r="C610" s="2">
        <v>27.0</v>
      </c>
      <c r="E610" s="14" t="s">
        <v>95</v>
      </c>
      <c r="F610" s="15" t="str">
        <f>IFERROR(__xludf.DUMMYFUNCTION("GOOGLETRANSLATE(B610,""en"",""ar"")"),"إرجاع")</f>
        <v>إرجاع</v>
      </c>
    </row>
    <row r="611" ht="14.25" customHeight="1">
      <c r="A611" s="5"/>
      <c r="B611" s="2" t="s">
        <v>704</v>
      </c>
      <c r="C611" s="2">
        <v>27.0</v>
      </c>
      <c r="E611" s="14" t="s">
        <v>95</v>
      </c>
      <c r="F611" s="15" t="str">
        <f>IFERROR(__xludf.DUMMYFUNCTION("GOOGLETRANSLATE(B611,""en"",""ar"")"),"يجري")</f>
        <v>يجري</v>
      </c>
    </row>
    <row r="612" ht="14.25" customHeight="1">
      <c r="A612" s="5"/>
      <c r="B612" s="2" t="s">
        <v>705</v>
      </c>
      <c r="C612" s="2">
        <v>27.0</v>
      </c>
      <c r="E612" s="14" t="s">
        <v>120</v>
      </c>
      <c r="F612" s="15" t="str">
        <f>IFERROR(__xludf.DUMMYFUNCTION("GOOGLETRANSLATE(B612,""en"",""ar"")"),"سرعة")</f>
        <v>سرعة</v>
      </c>
    </row>
    <row r="613" ht="14.25" customHeight="1">
      <c r="A613" s="5"/>
      <c r="B613" s="2" t="s">
        <v>706</v>
      </c>
      <c r="C613" s="2">
        <v>27.0</v>
      </c>
      <c r="E613" s="14" t="s">
        <v>113</v>
      </c>
      <c r="F613" s="15" t="str">
        <f>IFERROR(__xludf.DUMMYFUNCTION("GOOGLETRANSLATE(B613,""en"",""ar"")"),"قوي")</f>
        <v>قوي</v>
      </c>
    </row>
    <row r="614" ht="14.25" customHeight="1">
      <c r="A614" s="5"/>
      <c r="B614" s="2" t="s">
        <v>707</v>
      </c>
      <c r="C614" s="2">
        <v>27.0</v>
      </c>
      <c r="E614" s="14" t="s">
        <v>120</v>
      </c>
      <c r="F614" s="15" t="str">
        <f>IFERROR(__xludf.DUMMYFUNCTION("GOOGLETRANSLATE(B614,""en"",""ar"")"),"نمط")</f>
        <v>نمط</v>
      </c>
    </row>
    <row r="615" ht="14.25" customHeight="1">
      <c r="A615" s="5"/>
      <c r="B615" s="2" t="s">
        <v>708</v>
      </c>
      <c r="C615" s="2">
        <v>27.0</v>
      </c>
      <c r="E615" s="14" t="s">
        <v>33</v>
      </c>
      <c r="F615" s="15" t="str">
        <f>IFERROR(__xludf.DUMMYFUNCTION("GOOGLETRANSLATE(B615,""en"",""ar"")"),"على مدار")</f>
        <v>على مدار</v>
      </c>
    </row>
    <row r="616" ht="14.25" customHeight="1">
      <c r="A616" s="5"/>
      <c r="B616" s="2" t="s">
        <v>709</v>
      </c>
      <c r="C616" s="2">
        <v>27.0</v>
      </c>
      <c r="E616" s="14" t="s">
        <v>80</v>
      </c>
      <c r="F616" s="15" t="str">
        <f>IFERROR(__xludf.DUMMYFUNCTION("GOOGLETRANSLATE(B616,""en"",""ar"")"),"المستعمل")</f>
        <v>المستعمل</v>
      </c>
    </row>
    <row r="617" ht="14.25" customHeight="1">
      <c r="A617" s="5"/>
      <c r="B617" s="2" t="s">
        <v>710</v>
      </c>
      <c r="C617" s="2">
        <v>27.0</v>
      </c>
      <c r="E617" s="14" t="s">
        <v>120</v>
      </c>
      <c r="F617" s="15" t="str">
        <f>IFERROR(__xludf.DUMMYFUNCTION("GOOGLETRANSLATE(B617,""en"",""ar"")"),"حرب")</f>
        <v>حرب</v>
      </c>
    </row>
    <row r="618" ht="14.25" customHeight="1">
      <c r="A618" s="5"/>
      <c r="B618" s="2" t="s">
        <v>711</v>
      </c>
      <c r="C618" s="2">
        <v>26.0</v>
      </c>
      <c r="E618" s="14" t="s">
        <v>113</v>
      </c>
      <c r="F618" s="15" t="str">
        <f>IFERROR(__xludf.DUMMYFUNCTION("GOOGLETRANSLATE(B618,""en"",""ar"")"),"فِعلي")</f>
        <v>فِعلي</v>
      </c>
    </row>
    <row r="619" ht="14.25" customHeight="1">
      <c r="A619" s="5"/>
      <c r="B619" s="2" t="s">
        <v>712</v>
      </c>
      <c r="C619" s="2">
        <v>26.0</v>
      </c>
      <c r="E619" s="14" t="s">
        <v>644</v>
      </c>
      <c r="F619" s="15" t="str">
        <f>IFERROR(__xludf.DUMMYFUNCTION("GOOGLETRANSLATE(B619,""en"",""ar"")"),"ملائم")</f>
        <v>ملائم</v>
      </c>
    </row>
    <row r="620" ht="14.25" customHeight="1">
      <c r="A620" s="5"/>
      <c r="B620" s="2" t="s">
        <v>713</v>
      </c>
      <c r="C620" s="2">
        <v>26.0</v>
      </c>
      <c r="E620" s="14" t="s">
        <v>120</v>
      </c>
      <c r="F620" s="15" t="str">
        <f>IFERROR(__xludf.DUMMYFUNCTION("GOOGLETRANSLATE(B620,""en"",""ar"")"),"مصرف")</f>
        <v>مصرف</v>
      </c>
    </row>
    <row r="621" ht="14.25" customHeight="1">
      <c r="A621" s="5"/>
      <c r="B621" s="2" t="s">
        <v>714</v>
      </c>
      <c r="C621" s="2">
        <v>26.0</v>
      </c>
      <c r="E621" s="14" t="s">
        <v>80</v>
      </c>
      <c r="F621" s="15" t="str">
        <f>IFERROR(__xludf.DUMMYFUNCTION("GOOGLETRANSLATE(B621,""en"",""ar"")"),"مزيج")</f>
        <v>مزيج</v>
      </c>
    </row>
    <row r="622" ht="14.25" customHeight="1">
      <c r="A622" s="5"/>
      <c r="B622" s="2" t="s">
        <v>715</v>
      </c>
      <c r="C622" s="2">
        <v>26.0</v>
      </c>
      <c r="E622" s="14" t="s">
        <v>406</v>
      </c>
      <c r="F622" s="15" t="str">
        <f>IFERROR(__xludf.DUMMYFUNCTION("GOOGLETRANSLATE(B622,""en"",""ar"")"),"مركب")</f>
        <v>مركب</v>
      </c>
    </row>
    <row r="623" ht="14.25" customHeight="1">
      <c r="A623" s="5"/>
      <c r="B623" s="2" t="s">
        <v>716</v>
      </c>
      <c r="C623" s="2">
        <v>26.0</v>
      </c>
      <c r="E623" s="14" t="s">
        <v>510</v>
      </c>
      <c r="F623" s="15" t="str">
        <f>IFERROR(__xludf.DUMMYFUNCTION("GOOGLETRANSLATE(B623,""en"",""ar"")"),"المحتوى")</f>
        <v>المحتوى</v>
      </c>
    </row>
    <row r="624" ht="14.25" customHeight="1">
      <c r="A624" s="5"/>
      <c r="B624" s="2" t="s">
        <v>717</v>
      </c>
      <c r="C624" s="2">
        <v>26.0</v>
      </c>
      <c r="E624" s="14" t="s">
        <v>120</v>
      </c>
      <c r="F624" s="15" t="str">
        <f>IFERROR(__xludf.DUMMYFUNCTION("GOOGLETRANSLATE(B624,""en"",""ar"")"),"حرفة")</f>
        <v>حرفة</v>
      </c>
    </row>
    <row r="625" ht="14.25" customHeight="1">
      <c r="A625" s="5"/>
      <c r="B625" s="2" t="s">
        <v>718</v>
      </c>
      <c r="C625" s="2">
        <v>26.0</v>
      </c>
      <c r="E625" s="14" t="s">
        <v>78</v>
      </c>
      <c r="F625" s="15" t="str">
        <f>IFERROR(__xludf.DUMMYFUNCTION("GOOGLETRANSLATE(B625,""en"",""ar"")"),"بسبب")</f>
        <v>بسبب</v>
      </c>
    </row>
    <row r="626" ht="14.25" customHeight="1">
      <c r="A626" s="5"/>
      <c r="B626" s="2" t="s">
        <v>719</v>
      </c>
      <c r="C626" s="2">
        <v>26.0</v>
      </c>
      <c r="E626" s="14" t="s">
        <v>43</v>
      </c>
      <c r="F626" s="15" t="str">
        <f>IFERROR(__xludf.DUMMYFUNCTION("GOOGLETRANSLATE(B626,""en"",""ar"")"),"بسهولة")</f>
        <v>بسهولة</v>
      </c>
    </row>
    <row r="627" ht="14.25" customHeight="1">
      <c r="A627" s="5"/>
      <c r="B627" s="2" t="s">
        <v>720</v>
      </c>
      <c r="C627" s="2">
        <v>26.0</v>
      </c>
      <c r="E627" s="14" t="s">
        <v>236</v>
      </c>
      <c r="F627" s="15" t="str">
        <f>IFERROR(__xludf.DUMMYFUNCTION("GOOGLETRANSLATE(B627,""en"",""ar"")"),"فعال")</f>
        <v>فعال</v>
      </c>
    </row>
    <row r="628" ht="14.25" customHeight="1">
      <c r="A628" s="5"/>
      <c r="B628" s="2" t="s">
        <v>721</v>
      </c>
      <c r="C628" s="2">
        <v>26.0</v>
      </c>
      <c r="E628" s="14" t="s">
        <v>43</v>
      </c>
      <c r="F628" s="15" t="str">
        <f>IFERROR(__xludf.DUMMYFUNCTION("GOOGLETRANSLATE(B628,""en"",""ar"")"),"في النهاية")</f>
        <v>في النهاية</v>
      </c>
    </row>
    <row r="629" ht="14.25" customHeight="1">
      <c r="A629" s="5"/>
      <c r="B629" s="2" t="s">
        <v>722</v>
      </c>
      <c r="C629" s="2">
        <v>26.0</v>
      </c>
      <c r="E629" s="14" t="s">
        <v>43</v>
      </c>
      <c r="F629" s="15" t="str">
        <f>IFERROR(__xludf.DUMMYFUNCTION("GOOGLETRANSLATE(B629,""en"",""ar"")"),"بالضبط")</f>
        <v>بالضبط</v>
      </c>
    </row>
    <row r="630" ht="14.25" customHeight="1">
      <c r="A630" s="5"/>
      <c r="B630" s="2" t="s">
        <v>723</v>
      </c>
      <c r="C630" s="2">
        <v>26.0</v>
      </c>
      <c r="E630" s="14" t="s">
        <v>80</v>
      </c>
      <c r="F630" s="15" t="str">
        <f>IFERROR(__xludf.DUMMYFUNCTION("GOOGLETRANSLATE(B630,""en"",""ar"")"),"خزي")</f>
        <v>خزي</v>
      </c>
    </row>
    <row r="631" ht="14.25" customHeight="1">
      <c r="A631" s="5"/>
      <c r="B631" s="2" t="s">
        <v>724</v>
      </c>
      <c r="C631" s="2">
        <v>26.0</v>
      </c>
      <c r="E631" s="14" t="s">
        <v>725</v>
      </c>
      <c r="F631" s="15" t="str">
        <f>IFERROR(__xludf.DUMMYFUNCTION("GOOGLETRANSLATE(B631,""en"",""ar"")"),"نصف")</f>
        <v>نصف</v>
      </c>
    </row>
    <row r="632" ht="14.25" customHeight="1">
      <c r="A632" s="5"/>
      <c r="B632" s="2" t="s">
        <v>726</v>
      </c>
      <c r="C632" s="2">
        <v>26.0</v>
      </c>
      <c r="E632" s="14" t="s">
        <v>727</v>
      </c>
      <c r="F632" s="15" t="str">
        <f>IFERROR(__xludf.DUMMYFUNCTION("GOOGLETRANSLATE(B632,""en"",""ar"")"),"داخل")</f>
        <v>داخل</v>
      </c>
    </row>
    <row r="633" ht="14.25" customHeight="1">
      <c r="A633" s="5"/>
      <c r="B633" s="2" t="s">
        <v>728</v>
      </c>
      <c r="C633" s="2">
        <v>26.0</v>
      </c>
      <c r="E633" s="14" t="s">
        <v>80</v>
      </c>
      <c r="F633" s="15" t="str">
        <f>IFERROR(__xludf.DUMMYFUNCTION("GOOGLETRANSLATE(B633,""en"",""ar"")"),"المعنى")</f>
        <v>المعنى</v>
      </c>
    </row>
    <row r="634" ht="14.25" customHeight="1">
      <c r="A634" s="5"/>
      <c r="B634" s="2" t="s">
        <v>729</v>
      </c>
      <c r="C634" s="2">
        <v>26.0</v>
      </c>
      <c r="E634" s="14" t="s">
        <v>80</v>
      </c>
      <c r="F634" s="15" t="str">
        <f>IFERROR(__xludf.DUMMYFUNCTION("GOOGLETRANSLATE(B634,""en"",""ar"")"),"دواء")</f>
        <v>دواء</v>
      </c>
    </row>
    <row r="635" ht="14.25" customHeight="1">
      <c r="A635" s="5"/>
      <c r="B635" s="2" t="s">
        <v>730</v>
      </c>
      <c r="C635" s="2">
        <v>26.0</v>
      </c>
      <c r="E635" s="14" t="s">
        <v>236</v>
      </c>
      <c r="F635" s="15" t="str">
        <f>IFERROR(__xludf.DUMMYFUNCTION("GOOGLETRANSLATE(B635,""en"",""ar"")"),"وسط")</f>
        <v>وسط</v>
      </c>
    </row>
    <row r="636" ht="14.25" customHeight="1">
      <c r="A636" s="5"/>
      <c r="B636" s="2" t="s">
        <v>731</v>
      </c>
      <c r="C636" s="2">
        <v>26.0</v>
      </c>
      <c r="E636" s="14" t="s">
        <v>727</v>
      </c>
      <c r="F636" s="15" t="str">
        <f>IFERROR(__xludf.DUMMYFUNCTION("GOOGLETRANSLATE(B636,""en"",""ar"")"),"الخارج")</f>
        <v>الخارج</v>
      </c>
    </row>
    <row r="637" ht="14.25" customHeight="1">
      <c r="A637" s="5"/>
      <c r="B637" s="2" t="s">
        <v>732</v>
      </c>
      <c r="C637" s="2">
        <v>26.0</v>
      </c>
      <c r="E637" s="14" t="s">
        <v>80</v>
      </c>
      <c r="F637" s="15" t="str">
        <f>IFERROR(__xludf.DUMMYFUNCTION("GOOGLETRANSLATE(B637,""en"",""ar"")"),"فلسفة")</f>
        <v>فلسفة</v>
      </c>
    </row>
    <row r="638" ht="14.25" customHeight="1">
      <c r="A638" s="5"/>
      <c r="B638" s="2" t="s">
        <v>733</v>
      </c>
      <c r="C638" s="2">
        <v>26.0</v>
      </c>
      <c r="E638" s="14" t="s">
        <v>236</v>
      </c>
      <c r="F638" s="15" t="str">
        <f>IFERROR(__xludf.DUMMYFUNCTION("GOOGLETRANSLATE(B638,""en"",""ar"")"),"عادي")</f>
        <v>عادي</v>
      </c>
    </row>
    <row r="639" ht="14.25" customHeight="1">
      <c r="A639" s="5"/>
      <c r="B639" s="2" t="s">
        <v>734</v>
      </c>
      <c r="C639" s="2">
        <v>26.0</v>
      </c>
      <c r="E639" s="14" t="s">
        <v>95</v>
      </c>
      <c r="F639" s="15" t="str">
        <f>IFERROR(__xludf.DUMMYFUNCTION("GOOGLETRANSLATE(B639,""en"",""ar"")"),"الاحتياطي")</f>
        <v>الاحتياطي</v>
      </c>
    </row>
    <row r="640" ht="14.25" customHeight="1">
      <c r="A640" s="5"/>
      <c r="B640" s="2" t="s">
        <v>735</v>
      </c>
      <c r="C640" s="2">
        <v>26.0</v>
      </c>
      <c r="E640" s="14" t="s">
        <v>149</v>
      </c>
      <c r="F640" s="15" t="str">
        <f>IFERROR(__xludf.DUMMYFUNCTION("GOOGLETRANSLATE(B640,""en"",""ar"")"),"اساسي")</f>
        <v>اساسي</v>
      </c>
    </row>
    <row r="641" ht="14.25" customHeight="1">
      <c r="A641" s="5"/>
      <c r="B641" s="2" t="s">
        <v>736</v>
      </c>
      <c r="C641" s="2">
        <v>25.0</v>
      </c>
      <c r="E641" s="14" t="s">
        <v>120</v>
      </c>
      <c r="F641" s="15" t="str">
        <f>IFERROR(__xludf.DUMMYFUNCTION("GOOGLETRANSLATE(B641,""en"",""ar"")"),"أوتوبيس")</f>
        <v>أوتوبيس</v>
      </c>
    </row>
    <row r="642" ht="14.25" customHeight="1">
      <c r="A642" s="5"/>
      <c r="B642" s="2" t="s">
        <v>737</v>
      </c>
      <c r="C642" s="2">
        <v>25.0</v>
      </c>
      <c r="E642" s="14" t="s">
        <v>13</v>
      </c>
      <c r="F642" s="15" t="str">
        <f>IFERROR(__xludf.DUMMYFUNCTION("GOOGLETRANSLATE(B642,""en"",""ar"")"),"قرر")</f>
        <v>قرر</v>
      </c>
    </row>
    <row r="643" ht="14.25" customHeight="1">
      <c r="A643" s="5"/>
      <c r="B643" s="2" t="s">
        <v>738</v>
      </c>
      <c r="C643" s="2">
        <v>25.0</v>
      </c>
      <c r="E643" s="14" t="s">
        <v>120</v>
      </c>
      <c r="F643" s="15" t="str">
        <f>IFERROR(__xludf.DUMMYFUNCTION("GOOGLETRANSLATE(B643,""en"",""ar"")"),"تبادل")</f>
        <v>تبادل</v>
      </c>
    </row>
    <row r="644" ht="14.25" customHeight="1">
      <c r="A644" s="5"/>
      <c r="B644" s="2" t="s">
        <v>739</v>
      </c>
      <c r="C644" s="2">
        <v>25.0</v>
      </c>
      <c r="E644" s="14" t="s">
        <v>120</v>
      </c>
      <c r="F644" s="15" t="str">
        <f>IFERROR(__xludf.DUMMYFUNCTION("GOOGLETRANSLATE(B644,""en"",""ar"")"),"عين")</f>
        <v>عين</v>
      </c>
    </row>
    <row r="645" ht="14.25" customHeight="1">
      <c r="A645" s="5"/>
      <c r="B645" s="2" t="s">
        <v>740</v>
      </c>
      <c r="C645" s="2">
        <v>25.0</v>
      </c>
      <c r="E645" s="14" t="s">
        <v>200</v>
      </c>
      <c r="F645" s="15" t="str">
        <f>IFERROR(__xludf.DUMMYFUNCTION("GOOGLETRANSLATE(B645,""en"",""ar"")"),"سريع")</f>
        <v>سريع</v>
      </c>
    </row>
    <row r="646" ht="14.25" customHeight="1">
      <c r="A646" s="5"/>
      <c r="B646" s="2" t="s">
        <v>741</v>
      </c>
      <c r="C646" s="2">
        <v>25.0</v>
      </c>
      <c r="E646" s="14" t="s">
        <v>120</v>
      </c>
      <c r="F646" s="15" t="str">
        <f>IFERROR(__xludf.DUMMYFUNCTION("GOOGLETRANSLATE(B646,""en"",""ar"")"),"نار")</f>
        <v>نار</v>
      </c>
    </row>
    <row r="647" ht="14.25" customHeight="1">
      <c r="A647" s="5"/>
      <c r="B647" s="2" t="s">
        <v>742</v>
      </c>
      <c r="C647" s="2">
        <v>25.0</v>
      </c>
      <c r="E647" s="14" t="s">
        <v>13</v>
      </c>
      <c r="F647" s="15" t="str">
        <f>IFERROR(__xludf.DUMMYFUNCTION("GOOGLETRANSLATE(B647,""en"",""ar"")"),"التعرف")</f>
        <v>التعرف</v>
      </c>
    </row>
    <row r="648" ht="14.25" customHeight="1">
      <c r="A648" s="5"/>
      <c r="B648" s="2" t="s">
        <v>743</v>
      </c>
      <c r="C648" s="2">
        <v>25.0</v>
      </c>
      <c r="E648" s="14" t="s">
        <v>236</v>
      </c>
      <c r="F648" s="15" t="str">
        <f>IFERROR(__xludf.DUMMYFUNCTION("GOOGLETRANSLATE(B648,""en"",""ar"")"),"لا يعتمد")</f>
        <v>لا يعتمد</v>
      </c>
    </row>
    <row r="649" ht="14.25" customHeight="1">
      <c r="A649" s="5"/>
      <c r="B649" s="2" t="s">
        <v>744</v>
      </c>
      <c r="C649" s="2">
        <v>25.0</v>
      </c>
      <c r="E649" s="14" t="s">
        <v>95</v>
      </c>
      <c r="F649" s="15" t="str">
        <f>IFERROR(__xludf.DUMMYFUNCTION("GOOGLETRANSLATE(B649,""en"",""ar"")"),"غادر")</f>
        <v>غادر</v>
      </c>
    </row>
    <row r="650" ht="14.25" customHeight="1">
      <c r="A650" s="5"/>
      <c r="B650" s="2" t="s">
        <v>745</v>
      </c>
      <c r="C650" s="2">
        <v>25.0</v>
      </c>
      <c r="E650" s="14" t="s">
        <v>236</v>
      </c>
      <c r="F650" s="15" t="str">
        <f>IFERROR(__xludf.DUMMYFUNCTION("GOOGLETRANSLATE(B650,""en"",""ar"")"),"أصلي")</f>
        <v>أصلي</v>
      </c>
    </row>
    <row r="651" ht="14.25" customHeight="1">
      <c r="A651" s="5"/>
      <c r="B651" s="2" t="s">
        <v>746</v>
      </c>
      <c r="C651" s="2">
        <v>25.0</v>
      </c>
      <c r="E651" s="14" t="s">
        <v>120</v>
      </c>
      <c r="F651" s="15" t="str">
        <f>IFERROR(__xludf.DUMMYFUNCTION("GOOGLETRANSLATE(B651,""en"",""ar"")"),"موقع")</f>
        <v>موقع</v>
      </c>
    </row>
    <row r="652" ht="14.25" customHeight="1">
      <c r="A652" s="5"/>
      <c r="B652" s="2" t="s">
        <v>747</v>
      </c>
      <c r="C652" s="2">
        <v>25.0</v>
      </c>
      <c r="E652" s="14" t="s">
        <v>120</v>
      </c>
      <c r="F652" s="15" t="str">
        <f>IFERROR(__xludf.DUMMYFUNCTION("GOOGLETRANSLATE(B652,""en"",""ar"")"),"الضغط")</f>
        <v>الضغط</v>
      </c>
    </row>
    <row r="653" ht="14.25" customHeight="1">
      <c r="A653" s="5"/>
      <c r="B653" s="2" t="s">
        <v>748</v>
      </c>
      <c r="C653" s="2">
        <v>25.0</v>
      </c>
      <c r="E653" s="14" t="s">
        <v>95</v>
      </c>
      <c r="F653" s="15" t="str">
        <f>IFERROR(__xludf.DUMMYFUNCTION("GOOGLETRANSLATE(B653,""en"",""ar"")"),"تصل")</f>
        <v>تصل</v>
      </c>
    </row>
    <row r="654" ht="14.25" customHeight="1">
      <c r="A654" s="5"/>
      <c r="B654" s="2" t="s">
        <v>749</v>
      </c>
      <c r="C654" s="2">
        <v>25.0</v>
      </c>
      <c r="E654" s="14" t="s">
        <v>95</v>
      </c>
      <c r="F654" s="15" t="str">
        <f>IFERROR(__xludf.DUMMYFUNCTION("GOOGLETRANSLATE(B654,""en"",""ar"")"),"راحة")</f>
        <v>راحة</v>
      </c>
    </row>
    <row r="655" ht="14.25" customHeight="1">
      <c r="A655" s="5"/>
      <c r="B655" s="2" t="s">
        <v>750</v>
      </c>
      <c r="C655" s="2">
        <v>25.0</v>
      </c>
      <c r="E655" s="14" t="s">
        <v>95</v>
      </c>
      <c r="F655" s="15" t="str">
        <f>IFERROR(__xludf.DUMMYFUNCTION("GOOGLETRANSLATE(B655,""en"",""ar"")"),"تخدم")</f>
        <v>تخدم</v>
      </c>
    </row>
    <row r="656" ht="14.25" customHeight="1">
      <c r="A656" s="5"/>
      <c r="B656" s="2" t="s">
        <v>751</v>
      </c>
      <c r="C656" s="2">
        <v>25.0</v>
      </c>
      <c r="E656" s="14" t="s">
        <v>120</v>
      </c>
      <c r="F656" s="15" t="str">
        <f>IFERROR(__xludf.DUMMYFUNCTION("GOOGLETRANSLATE(B656,""en"",""ar"")"),"ضغط عصبى")</f>
        <v>ضغط عصبى</v>
      </c>
    </row>
    <row r="657" ht="14.25" customHeight="1">
      <c r="A657" s="5"/>
      <c r="B657" s="2" t="s">
        <v>752</v>
      </c>
      <c r="C657" s="2">
        <v>25.0</v>
      </c>
      <c r="E657" s="14" t="s">
        <v>80</v>
      </c>
      <c r="F657" s="15" t="str">
        <f>IFERROR(__xludf.DUMMYFUNCTION("GOOGLETRANSLATE(B657,""en"",""ar"")"),"معلم")</f>
        <v>معلم</v>
      </c>
    </row>
    <row r="658" ht="14.25" customHeight="1">
      <c r="A658" s="5"/>
      <c r="B658" s="2" t="s">
        <v>753</v>
      </c>
      <c r="C658" s="2">
        <v>25.0</v>
      </c>
      <c r="E658" s="14" t="s">
        <v>95</v>
      </c>
      <c r="F658" s="15" t="str">
        <f>IFERROR(__xludf.DUMMYFUNCTION("GOOGLETRANSLATE(B658,""en"",""ar"")"),"راقب")</f>
        <v>راقب</v>
      </c>
    </row>
    <row r="659" ht="14.25" customHeight="1">
      <c r="A659" s="5"/>
      <c r="B659" s="2" t="s">
        <v>754</v>
      </c>
      <c r="C659" s="2">
        <v>25.0</v>
      </c>
      <c r="E659" s="14" t="s">
        <v>51</v>
      </c>
      <c r="F659" s="15" t="str">
        <f>IFERROR(__xludf.DUMMYFUNCTION("GOOGLETRANSLATE(B659,""en"",""ar"")"),"واسع")</f>
        <v>واسع</v>
      </c>
    </row>
    <row r="660" ht="14.25" customHeight="1">
      <c r="A660" s="5"/>
      <c r="B660" s="2" t="s">
        <v>755</v>
      </c>
      <c r="C660" s="2">
        <v>24.0</v>
      </c>
      <c r="E660" s="14" t="s">
        <v>120</v>
      </c>
      <c r="F660" s="15" t="str">
        <f>IFERROR(__xludf.DUMMYFUNCTION("GOOGLETRANSLATE(B660,""en"",""ar"")"),"مميزات")</f>
        <v>مميزات</v>
      </c>
    </row>
    <row r="661" ht="14.25" customHeight="1">
      <c r="A661" s="5"/>
      <c r="B661" s="2" t="s">
        <v>756</v>
      </c>
      <c r="C661" s="2">
        <v>24.0</v>
      </c>
      <c r="E661" s="14" t="s">
        <v>757</v>
      </c>
      <c r="F661" s="15" t="str">
        <f>IFERROR(__xludf.DUMMYFUNCTION("GOOGLETRANSLATE(B661,""en"",""ar"")"),"جميلة")</f>
        <v>جميلة</v>
      </c>
    </row>
    <row r="662" ht="14.25" customHeight="1">
      <c r="A662" s="5"/>
      <c r="B662" s="2" t="s">
        <v>758</v>
      </c>
      <c r="C662" s="2">
        <v>24.0</v>
      </c>
      <c r="E662" s="14" t="s">
        <v>120</v>
      </c>
      <c r="F662" s="15" t="str">
        <f>IFERROR(__xludf.DUMMYFUNCTION("GOOGLETRANSLATE(B662,""en"",""ar"")"),"المنفعة")</f>
        <v>المنفعة</v>
      </c>
    </row>
    <row r="663" ht="14.25" customHeight="1">
      <c r="A663" s="5"/>
      <c r="B663" s="2" t="s">
        <v>759</v>
      </c>
      <c r="C663" s="2">
        <v>24.0</v>
      </c>
      <c r="E663" s="14" t="s">
        <v>120</v>
      </c>
      <c r="F663" s="15" t="str">
        <f>IFERROR(__xludf.DUMMYFUNCTION("GOOGLETRANSLATE(B663,""en"",""ar"")"),"علبة")</f>
        <v>علبة</v>
      </c>
    </row>
    <row r="664" ht="14.25" customHeight="1">
      <c r="A664" s="5"/>
      <c r="B664" s="2" t="s">
        <v>760</v>
      </c>
      <c r="C664" s="2">
        <v>24.0</v>
      </c>
      <c r="E664" s="14" t="s">
        <v>95</v>
      </c>
      <c r="F664" s="15" t="str">
        <f>IFERROR(__xludf.DUMMYFUNCTION("GOOGLETRANSLATE(B664,""en"",""ar"")"),"تكلفة")</f>
        <v>تكلفة</v>
      </c>
    </row>
    <row r="665" ht="14.25" customHeight="1">
      <c r="A665" s="5"/>
      <c r="B665" s="2" t="s">
        <v>761</v>
      </c>
      <c r="C665" s="2">
        <v>24.0</v>
      </c>
      <c r="E665" s="14" t="s">
        <v>80</v>
      </c>
      <c r="F665" s="15" t="str">
        <f>IFERROR(__xludf.DUMMYFUNCTION("GOOGLETRANSLATE(B665,""en"",""ar"")"),"الاتصالات")</f>
        <v>الاتصالات</v>
      </c>
    </row>
    <row r="666" ht="14.25" customHeight="1">
      <c r="A666" s="5"/>
      <c r="B666" s="2" t="s">
        <v>762</v>
      </c>
      <c r="C666" s="2">
        <v>24.0</v>
      </c>
      <c r="E666" s="14" t="s">
        <v>180</v>
      </c>
      <c r="F666" s="15" t="str">
        <f>IFERROR(__xludf.DUMMYFUNCTION("GOOGLETRANSLATE(B666,""en"",""ar"")"),"مكتمل")</f>
        <v>مكتمل</v>
      </c>
    </row>
    <row r="667" ht="14.25" customHeight="1">
      <c r="A667" s="5"/>
      <c r="B667" s="2" t="s">
        <v>763</v>
      </c>
      <c r="C667" s="2">
        <v>24.0</v>
      </c>
      <c r="E667" s="14" t="s">
        <v>13</v>
      </c>
      <c r="F667" s="15" t="str">
        <f>IFERROR(__xludf.DUMMYFUNCTION("GOOGLETRANSLATE(B667,""en"",""ar"")"),"استمر")</f>
        <v>استمر</v>
      </c>
    </row>
    <row r="668" ht="14.25" customHeight="1">
      <c r="A668" s="5"/>
      <c r="B668" s="2" t="s">
        <v>764</v>
      </c>
      <c r="C668" s="2">
        <v>24.0</v>
      </c>
      <c r="E668" s="14" t="s">
        <v>120</v>
      </c>
      <c r="F668" s="15" t="str">
        <f>IFERROR(__xludf.DUMMYFUNCTION("GOOGLETRANSLATE(B668,""en"",""ar"")"),"الإطار")</f>
        <v>الإطار</v>
      </c>
    </row>
    <row r="669" ht="14.25" customHeight="1">
      <c r="A669" s="5"/>
      <c r="B669" s="2" t="s">
        <v>765</v>
      </c>
      <c r="C669" s="2">
        <v>24.0</v>
      </c>
      <c r="E669" s="14" t="s">
        <v>120</v>
      </c>
      <c r="F669" s="15" t="str">
        <f>IFERROR(__xludf.DUMMYFUNCTION("GOOGLETRANSLATE(B669,""en"",""ar"")"),"القضية")</f>
        <v>القضية</v>
      </c>
    </row>
    <row r="670" ht="14.25" customHeight="1">
      <c r="A670" s="5"/>
      <c r="B670" s="2" t="s">
        <v>766</v>
      </c>
      <c r="C670" s="2">
        <v>24.0</v>
      </c>
      <c r="E670" s="14" t="s">
        <v>88</v>
      </c>
      <c r="F670" s="15" t="str">
        <f>IFERROR(__xludf.DUMMYFUNCTION("GOOGLETRANSLATE(B670,""en"",""ar"")"),"محدود")</f>
        <v>محدود</v>
      </c>
    </row>
    <row r="671" ht="14.25" customHeight="1">
      <c r="A671" s="5"/>
      <c r="B671" s="2" t="s">
        <v>767</v>
      </c>
      <c r="C671" s="2">
        <v>24.0</v>
      </c>
      <c r="E671" s="14" t="s">
        <v>80</v>
      </c>
      <c r="F671" s="15" t="str">
        <f>IFERROR(__xludf.DUMMYFUNCTION("GOOGLETRANSLATE(B671,""en"",""ar"")"),"ليل")</f>
        <v>ليل</v>
      </c>
    </row>
    <row r="672" ht="14.25" customHeight="1">
      <c r="A672" s="5"/>
      <c r="B672" s="2" t="s">
        <v>768</v>
      </c>
      <c r="C672" s="2">
        <v>24.0</v>
      </c>
      <c r="E672" s="14" t="s">
        <v>13</v>
      </c>
      <c r="F672" s="15" t="str">
        <f>IFERROR(__xludf.DUMMYFUNCTION("GOOGLETRANSLATE(B672,""en"",""ar"")"),"يحمي")</f>
        <v>يحمي</v>
      </c>
    </row>
    <row r="673" ht="14.25" customHeight="1">
      <c r="A673" s="5"/>
      <c r="B673" s="2" t="s">
        <v>769</v>
      </c>
      <c r="C673" s="2">
        <v>24.0</v>
      </c>
      <c r="E673" s="14" t="s">
        <v>13</v>
      </c>
      <c r="F673" s="15" t="str">
        <f>IFERROR(__xludf.DUMMYFUNCTION("GOOGLETRANSLATE(B673,""en"",""ar"")"),"يتطلب")</f>
        <v>يتطلب</v>
      </c>
    </row>
    <row r="674" ht="14.25" customHeight="1">
      <c r="A674" s="5"/>
      <c r="B674" s="2" t="s">
        <v>770</v>
      </c>
      <c r="C674" s="2">
        <v>24.0</v>
      </c>
      <c r="E674" s="14" t="s">
        <v>113</v>
      </c>
      <c r="F674" s="15" t="str">
        <f>IFERROR(__xludf.DUMMYFUNCTION("GOOGLETRANSLATE(B674,""en"",""ar"")"),"هام")</f>
        <v>هام</v>
      </c>
    </row>
    <row r="675" ht="14.25" customHeight="1">
      <c r="A675" s="5"/>
      <c r="B675" s="2" t="s">
        <v>771</v>
      </c>
      <c r="C675" s="2">
        <v>24.0</v>
      </c>
      <c r="E675" s="14" t="s">
        <v>120</v>
      </c>
      <c r="F675" s="15" t="str">
        <f>IFERROR(__xludf.DUMMYFUNCTION("GOOGLETRANSLATE(B675,""en"",""ar"")"),"خطوة")</f>
        <v>خطوة</v>
      </c>
    </row>
    <row r="676" ht="14.25" customHeight="1">
      <c r="A676" s="5"/>
      <c r="B676" s="2" t="s">
        <v>772</v>
      </c>
      <c r="C676" s="2">
        <v>24.0</v>
      </c>
      <c r="E676" s="14" t="s">
        <v>113</v>
      </c>
      <c r="F676" s="15" t="str">
        <f>IFERROR(__xludf.DUMMYFUNCTION("GOOGLETRANSLATE(B676,""en"",""ar"")"),"ناجح")</f>
        <v>ناجح</v>
      </c>
    </row>
    <row r="677" ht="14.25" customHeight="1">
      <c r="A677" s="5"/>
      <c r="B677" s="2" t="s">
        <v>773</v>
      </c>
      <c r="C677" s="2">
        <v>24.0</v>
      </c>
      <c r="E677" s="14" t="s">
        <v>6</v>
      </c>
      <c r="F677" s="15" t="str">
        <f>IFERROR(__xludf.DUMMYFUNCTION("GOOGLETRANSLATE(B677,""en"",""ar"")"),"ما لم")</f>
        <v>ما لم</v>
      </c>
    </row>
    <row r="678" ht="14.25" customHeight="1">
      <c r="A678" s="5"/>
      <c r="B678" s="2" t="s">
        <v>774</v>
      </c>
      <c r="C678" s="2">
        <v>23.0</v>
      </c>
      <c r="E678" s="14" t="s">
        <v>236</v>
      </c>
      <c r="F678" s="15" t="str">
        <f>IFERROR(__xludf.DUMMYFUNCTION("GOOGLETRANSLATE(B678,""en"",""ar"")"),"نشيط")</f>
        <v>نشيط</v>
      </c>
    </row>
    <row r="679" ht="14.25" customHeight="1">
      <c r="A679" s="5"/>
      <c r="B679" s="2" t="s">
        <v>775</v>
      </c>
      <c r="C679" s="2">
        <v>23.0</v>
      </c>
      <c r="E679" s="14" t="s">
        <v>95</v>
      </c>
      <c r="F679" s="15" t="str">
        <f>IFERROR(__xludf.DUMMYFUNCTION("GOOGLETRANSLATE(B679,""en"",""ar"")"),"فترة راحة")</f>
        <v>فترة راحة</v>
      </c>
    </row>
    <row r="680" ht="14.25" customHeight="1">
      <c r="A680" s="5"/>
      <c r="B680" s="2" t="s">
        <v>776</v>
      </c>
      <c r="C680" s="2">
        <v>23.0</v>
      </c>
      <c r="E680" s="14" t="s">
        <v>80</v>
      </c>
      <c r="F680" s="15" t="str">
        <f>IFERROR(__xludf.DUMMYFUNCTION("GOOGLETRANSLATE(B680,""en"",""ar"")"),"كيمياء")</f>
        <v>كيمياء</v>
      </c>
    </row>
    <row r="681" ht="14.25" customHeight="1">
      <c r="A681" s="5"/>
      <c r="B681" s="2" t="s">
        <v>777</v>
      </c>
      <c r="C681" s="2">
        <v>23.0</v>
      </c>
      <c r="E681" s="14" t="s">
        <v>120</v>
      </c>
      <c r="F681" s="15" t="str">
        <f>IFERROR(__xludf.DUMMYFUNCTION("GOOGLETRANSLATE(B681,""en"",""ar"")"),"دورة")</f>
        <v>دورة</v>
      </c>
    </row>
    <row r="682" ht="14.25" customHeight="1">
      <c r="A682" s="5"/>
      <c r="B682" s="2" t="s">
        <v>778</v>
      </c>
      <c r="C682" s="2">
        <v>23.0</v>
      </c>
      <c r="E682" s="14" t="s">
        <v>80</v>
      </c>
      <c r="F682" s="15" t="str">
        <f>IFERROR(__xludf.DUMMYFUNCTION("GOOGLETRANSLATE(B682,""en"",""ar"")"),"مرض")</f>
        <v>مرض</v>
      </c>
    </row>
    <row r="683" ht="14.25" customHeight="1">
      <c r="A683" s="5"/>
      <c r="B683" s="2" t="s">
        <v>779</v>
      </c>
      <c r="C683" s="2">
        <v>23.0</v>
      </c>
      <c r="E683" s="14" t="s">
        <v>80</v>
      </c>
      <c r="F683" s="15" t="str">
        <f>IFERROR(__xludf.DUMMYFUNCTION("GOOGLETRANSLATE(B683,""en"",""ar"")"),"قرص")</f>
        <v>قرص</v>
      </c>
    </row>
    <row r="684" ht="14.25" customHeight="1">
      <c r="A684" s="5"/>
      <c r="B684" s="2" t="s">
        <v>780</v>
      </c>
      <c r="C684" s="2">
        <v>23.0</v>
      </c>
      <c r="E684" s="14" t="s">
        <v>113</v>
      </c>
      <c r="F684" s="15" t="str">
        <f>IFERROR(__xludf.DUMMYFUNCTION("GOOGLETRANSLATE(B684,""en"",""ar"")"),"الكهرباء")</f>
        <v>الكهرباء</v>
      </c>
    </row>
    <row r="685" ht="14.25" customHeight="1">
      <c r="A685" s="5"/>
      <c r="B685" s="2" t="s">
        <v>781</v>
      </c>
      <c r="C685" s="2">
        <v>23.0</v>
      </c>
      <c r="E685" s="14" t="s">
        <v>80</v>
      </c>
      <c r="F685" s="15" t="str">
        <f>IFERROR(__xludf.DUMMYFUNCTION("GOOGLETRANSLATE(B685,""en"",""ar"")"),"طاقة")</f>
        <v>طاقة</v>
      </c>
    </row>
    <row r="686" ht="14.25" customHeight="1">
      <c r="A686" s="5"/>
      <c r="B686" s="2" t="s">
        <v>782</v>
      </c>
      <c r="C686" s="2">
        <v>23.0</v>
      </c>
      <c r="E686" s="14" t="s">
        <v>113</v>
      </c>
      <c r="F686" s="15" t="str">
        <f>IFERROR(__xludf.DUMMYFUNCTION("GOOGLETRANSLATE(B686,""en"",""ar"")"),"مكلفة")</f>
        <v>مكلفة</v>
      </c>
    </row>
    <row r="687" ht="14.25" customHeight="1">
      <c r="A687" s="5"/>
      <c r="B687" s="2" t="s">
        <v>783</v>
      </c>
      <c r="C687" s="2">
        <v>23.0</v>
      </c>
      <c r="E687" s="14" t="s">
        <v>120</v>
      </c>
      <c r="F687" s="15" t="str">
        <f>IFERROR(__xludf.DUMMYFUNCTION("GOOGLETRANSLATE(B687,""en"",""ar"")"),"وجه")</f>
        <v>وجه</v>
      </c>
    </row>
    <row r="688" ht="14.25" customHeight="1">
      <c r="A688" s="5"/>
      <c r="B688" s="2" t="s">
        <v>784</v>
      </c>
      <c r="C688" s="2">
        <v>23.0</v>
      </c>
      <c r="E688" s="14" t="s">
        <v>88</v>
      </c>
      <c r="F688" s="15" t="str">
        <f>IFERROR(__xludf.DUMMYFUNCTION("GOOGLETRANSLATE(B688,""en"",""ar"")"),"يستفد")</f>
        <v>يستفد</v>
      </c>
    </row>
    <row r="689" ht="14.25" customHeight="1">
      <c r="A689" s="5"/>
      <c r="B689" s="2" t="s">
        <v>785</v>
      </c>
      <c r="C689" s="2">
        <v>23.0</v>
      </c>
      <c r="E689" s="14" t="s">
        <v>786</v>
      </c>
      <c r="F689" s="15" t="str">
        <f>IFERROR(__xludf.DUMMYFUNCTION("GOOGLETRANSLATE(B689,""en"",""ar"")"),"العنصر")</f>
        <v>العنصر</v>
      </c>
    </row>
    <row r="690" ht="14.25" customHeight="1">
      <c r="A690" s="5"/>
      <c r="B690" s="2" t="s">
        <v>787</v>
      </c>
      <c r="C690" s="2">
        <v>23.0</v>
      </c>
      <c r="E690" s="14" t="s">
        <v>120</v>
      </c>
      <c r="F690" s="15" t="str">
        <f>IFERROR(__xludf.DUMMYFUNCTION("GOOGLETRANSLATE(B690,""en"",""ar"")"),"فلز")</f>
        <v>فلز</v>
      </c>
    </row>
    <row r="691" ht="14.25" customHeight="1">
      <c r="A691" s="5"/>
      <c r="B691" s="2" t="s">
        <v>788</v>
      </c>
      <c r="C691" s="2">
        <v>23.0</v>
      </c>
      <c r="E691" s="14" t="s">
        <v>80</v>
      </c>
      <c r="F691" s="15" t="str">
        <f>IFERROR(__xludf.DUMMYFUNCTION("GOOGLETRANSLATE(B691,""en"",""ar"")"),"الأمة")</f>
        <v>الأمة</v>
      </c>
    </row>
    <row r="692" ht="14.25" customHeight="1">
      <c r="A692" s="5"/>
      <c r="B692" s="2" t="s">
        <v>789</v>
      </c>
      <c r="C692" s="2">
        <v>23.0</v>
      </c>
      <c r="E692" s="14" t="s">
        <v>790</v>
      </c>
      <c r="F692" s="15" t="str">
        <f>IFERROR(__xludf.DUMMYFUNCTION("GOOGLETRANSLATE(B692,""en"",""ar"")"),"نفي")</f>
        <v>نفي</v>
      </c>
    </row>
    <row r="693" ht="14.25" customHeight="1">
      <c r="A693" s="5"/>
      <c r="B693" s="2" t="s">
        <v>791</v>
      </c>
      <c r="C693" s="2">
        <v>23.0</v>
      </c>
      <c r="E693" s="14" t="s">
        <v>13</v>
      </c>
      <c r="F693" s="15" t="str">
        <f>IFERROR(__xludf.DUMMYFUNCTION("GOOGLETRANSLATE(B693,""en"",""ar"")"),"تحدث")</f>
        <v>تحدث</v>
      </c>
    </row>
    <row r="694" ht="14.25" customHeight="1">
      <c r="A694" s="5"/>
      <c r="B694" s="2" t="s">
        <v>792</v>
      </c>
      <c r="C694" s="2">
        <v>23.0</v>
      </c>
      <c r="E694" s="14" t="s">
        <v>120</v>
      </c>
      <c r="F694" s="15" t="str">
        <f>IFERROR(__xludf.DUMMYFUNCTION("GOOGLETRANSLATE(B694,""en"",""ar"")"),"رسم")</f>
        <v>رسم</v>
      </c>
    </row>
    <row r="695" ht="14.25" customHeight="1">
      <c r="A695" s="5"/>
      <c r="B695" s="2" t="s">
        <v>793</v>
      </c>
      <c r="C695" s="2">
        <v>23.0</v>
      </c>
      <c r="E695" s="14" t="s">
        <v>113</v>
      </c>
      <c r="F695" s="15" t="str">
        <f>IFERROR(__xludf.DUMMYFUNCTION("GOOGLETRANSLATE(B695,""en"",""ar"")"),"حامل")</f>
        <v>حامل</v>
      </c>
    </row>
    <row r="696" ht="14.25" customHeight="1">
      <c r="A696" s="5"/>
      <c r="B696" s="2" t="s">
        <v>794</v>
      </c>
      <c r="C696" s="2">
        <v>23.0</v>
      </c>
      <c r="E696" s="14" t="s">
        <v>120</v>
      </c>
      <c r="F696" s="15" t="str">
        <f>IFERROR(__xludf.DUMMYFUNCTION("GOOGLETRANSLATE(B696,""en"",""ar"")"),"إعادة النظر")</f>
        <v>إعادة النظر</v>
      </c>
    </row>
    <row r="697" ht="14.25" customHeight="1">
      <c r="A697" s="5"/>
      <c r="B697" s="2" t="s">
        <v>795</v>
      </c>
      <c r="C697" s="2">
        <v>23.0</v>
      </c>
      <c r="E697" s="14" t="s">
        <v>80</v>
      </c>
      <c r="F697" s="15" t="str">
        <f>IFERROR(__xludf.DUMMYFUNCTION("GOOGLETRANSLATE(B697,""en"",""ar"")"),"طريق")</f>
        <v>طريق</v>
      </c>
    </row>
    <row r="698" ht="14.25" customHeight="1">
      <c r="A698" s="5"/>
      <c r="B698" s="2" t="s">
        <v>796</v>
      </c>
      <c r="C698" s="2">
        <v>23.0</v>
      </c>
      <c r="E698" s="14" t="s">
        <v>80</v>
      </c>
      <c r="F698" s="15" t="str">
        <f>IFERROR(__xludf.DUMMYFUNCTION("GOOGLETRANSLATE(B698,""en"",""ar"")"),"وظيفة")</f>
        <v>وظيفة</v>
      </c>
    </row>
    <row r="699" ht="14.25" customHeight="1">
      <c r="A699" s="5"/>
      <c r="B699" s="2" t="s">
        <v>797</v>
      </c>
      <c r="C699" s="2">
        <v>23.0</v>
      </c>
      <c r="E699" s="14" t="s">
        <v>120</v>
      </c>
      <c r="F699" s="15" t="str">
        <f>IFERROR(__xludf.DUMMYFUNCTION("GOOGLETRANSLATE(B699,""en"",""ar"")"),"مجال")</f>
        <v>مجال</v>
      </c>
    </row>
    <row r="700" ht="14.25" customHeight="1">
      <c r="A700" s="5"/>
      <c r="B700" s="2" t="s">
        <v>798</v>
      </c>
      <c r="C700" s="2">
        <v>23.0</v>
      </c>
      <c r="E700" s="14" t="s">
        <v>236</v>
      </c>
      <c r="F700" s="15" t="str">
        <f>IFERROR(__xludf.DUMMYFUNCTION("GOOGLETRANSLATE(B700,""en"",""ar"")"),"آمنة")</f>
        <v>آمنة</v>
      </c>
    </row>
    <row r="701" ht="14.25" customHeight="1">
      <c r="A701" s="5"/>
      <c r="B701" s="2" t="s">
        <v>799</v>
      </c>
      <c r="C701" s="2">
        <v>23.0</v>
      </c>
      <c r="E701" s="14" t="s">
        <v>120</v>
      </c>
      <c r="F701" s="15" t="str">
        <f>IFERROR(__xludf.DUMMYFUNCTION("GOOGLETRANSLATE(B701,""en"",""ar"")"),"شاشة")</f>
        <v>شاشة</v>
      </c>
    </row>
    <row r="702" ht="14.25" customHeight="1">
      <c r="A702" s="5"/>
      <c r="B702" s="2" t="s">
        <v>800</v>
      </c>
      <c r="C702" s="2">
        <v>23.0</v>
      </c>
      <c r="E702" s="14" t="s">
        <v>80</v>
      </c>
      <c r="F702" s="15" t="str">
        <f>IFERROR(__xludf.DUMMYFUNCTION("GOOGLETRANSLATE(B702,""en"",""ar"")"),"حساء")</f>
        <v>حساء</v>
      </c>
    </row>
    <row r="703" ht="14.25" customHeight="1">
      <c r="A703" s="5"/>
      <c r="B703" s="2" t="s">
        <v>801</v>
      </c>
      <c r="C703" s="2">
        <v>23.0</v>
      </c>
      <c r="E703" s="14" t="s">
        <v>95</v>
      </c>
      <c r="F703" s="15" t="str">
        <f>IFERROR(__xludf.DUMMYFUNCTION("GOOGLETRANSLATE(B703,""en"",""ar"")"),"يقضي")</f>
        <v>يقضي</v>
      </c>
    </row>
    <row r="704" ht="14.25" customHeight="1">
      <c r="A704" s="5"/>
      <c r="B704" s="2" t="s">
        <v>802</v>
      </c>
      <c r="C704" s="2">
        <v>23.0</v>
      </c>
      <c r="E704" s="14" t="s">
        <v>120</v>
      </c>
      <c r="F704" s="15" t="str">
        <f>IFERROR(__xludf.DUMMYFUNCTION("GOOGLETRANSLATE(B704,""en"",""ar"")"),"بنية")</f>
        <v>بنية</v>
      </c>
    </row>
    <row r="705" ht="14.25" customHeight="1">
      <c r="A705" s="5"/>
      <c r="B705" s="2" t="s">
        <v>803</v>
      </c>
      <c r="C705" s="2">
        <v>23.0</v>
      </c>
      <c r="E705" s="14" t="s">
        <v>120</v>
      </c>
      <c r="F705" s="15" t="str">
        <f>IFERROR(__xludf.DUMMYFUNCTION("GOOGLETRANSLATE(B705,""en"",""ar"")"),"رأي")</f>
        <v>رأي</v>
      </c>
    </row>
    <row r="706" ht="14.25" customHeight="1">
      <c r="A706" s="5"/>
      <c r="B706" s="2" t="s">
        <v>804</v>
      </c>
      <c r="C706" s="2">
        <v>23.0</v>
      </c>
      <c r="E706" s="14" t="s">
        <v>95</v>
      </c>
      <c r="F706" s="15" t="str">
        <f>IFERROR(__xludf.DUMMYFUNCTION("GOOGLETRANSLATE(B706,""en"",""ar"")"),"يزور")</f>
        <v>يزور</v>
      </c>
    </row>
    <row r="707" ht="14.25" customHeight="1">
      <c r="A707" s="5"/>
      <c r="B707" s="2" t="s">
        <v>805</v>
      </c>
      <c r="C707" s="2">
        <v>23.0</v>
      </c>
      <c r="E707" s="14" t="s">
        <v>236</v>
      </c>
      <c r="F707" s="15" t="str">
        <f>IFERROR(__xludf.DUMMYFUNCTION("GOOGLETRANSLATE(B707,""en"",""ar"")"),"المرئية")</f>
        <v>المرئية</v>
      </c>
    </row>
    <row r="708" ht="14.25" customHeight="1">
      <c r="A708" s="5"/>
      <c r="B708" s="2" t="s">
        <v>806</v>
      </c>
      <c r="C708" s="2">
        <v>23.0</v>
      </c>
      <c r="E708" s="14" t="s">
        <v>13</v>
      </c>
      <c r="F708" s="15" t="str">
        <f>IFERROR(__xludf.DUMMYFUNCTION("GOOGLETRANSLATE(B708,""en"",""ar"")"),"اكتب")</f>
        <v>اكتب</v>
      </c>
    </row>
    <row r="709" ht="14.25" customHeight="1">
      <c r="A709" s="5"/>
      <c r="B709" s="2" t="s">
        <v>807</v>
      </c>
      <c r="C709" s="2">
        <v>23.0</v>
      </c>
      <c r="E709" s="14" t="s">
        <v>206</v>
      </c>
      <c r="F709" s="15" t="str">
        <f>IFERROR(__xludf.DUMMYFUNCTION("GOOGLETRANSLATE(B709,""en"",""ar"")"),"خاطئ - ظلم - يظلم")</f>
        <v>خاطئ - ظلم - يظلم</v>
      </c>
    </row>
    <row r="710" ht="14.25" customHeight="1">
      <c r="A710" s="5"/>
      <c r="B710" s="2" t="s">
        <v>808</v>
      </c>
      <c r="C710" s="2">
        <v>22.0</v>
      </c>
      <c r="E710" s="14" t="s">
        <v>120</v>
      </c>
      <c r="F710" s="15" t="str">
        <f>IFERROR(__xludf.DUMMYFUNCTION("GOOGLETRANSLATE(B710,""en"",""ar"")"),"الحساب")</f>
        <v>الحساب</v>
      </c>
    </row>
    <row r="711" ht="14.25" customHeight="1">
      <c r="A711" s="5"/>
      <c r="B711" s="2" t="s">
        <v>809</v>
      </c>
      <c r="C711" s="2">
        <v>22.0</v>
      </c>
      <c r="E711" s="14" t="s">
        <v>80</v>
      </c>
      <c r="F711" s="15" t="str">
        <f>IFERROR(__xludf.DUMMYFUNCTION("GOOGLETRANSLATE(B711,""en"",""ar"")"),"إعلان")</f>
        <v>إعلان</v>
      </c>
    </row>
    <row r="712" ht="14.25" customHeight="1">
      <c r="A712" s="5"/>
      <c r="B712" s="2" t="s">
        <v>810</v>
      </c>
      <c r="C712" s="2">
        <v>22.0</v>
      </c>
      <c r="E712" s="14" t="s">
        <v>95</v>
      </c>
      <c r="F712" s="15" t="str">
        <f>IFERROR(__xludf.DUMMYFUNCTION("GOOGLETRANSLATE(B712,""en"",""ar"")"),"تؤثر")</f>
        <v>تؤثر</v>
      </c>
    </row>
    <row r="713" ht="14.25" customHeight="1">
      <c r="A713" s="5"/>
      <c r="B713" s="2" t="s">
        <v>811</v>
      </c>
      <c r="C713" s="2">
        <v>22.0</v>
      </c>
      <c r="E713" s="14" t="s">
        <v>51</v>
      </c>
      <c r="F713" s="15" t="str">
        <f>IFERROR(__xludf.DUMMYFUNCTION("GOOGLETRANSLATE(B713,""en"",""ar"")"),"منذ")</f>
        <v>منذ</v>
      </c>
    </row>
    <row r="714" ht="14.25" customHeight="1">
      <c r="A714" s="5"/>
      <c r="B714" s="2" t="s">
        <v>812</v>
      </c>
      <c r="C714" s="2">
        <v>22.0</v>
      </c>
      <c r="E714" s="14" t="s">
        <v>31</v>
      </c>
      <c r="F714" s="15" t="str">
        <f>IFERROR(__xludf.DUMMYFUNCTION("GOOGLETRANSLATE(B714,""en"",""ar"")"),"أي واحد")</f>
        <v>أي واحد</v>
      </c>
    </row>
    <row r="715" ht="14.25" customHeight="1">
      <c r="A715" s="5"/>
      <c r="B715" s="2" t="s">
        <v>813</v>
      </c>
      <c r="C715" s="2">
        <v>22.0</v>
      </c>
      <c r="E715" s="14" t="s">
        <v>13</v>
      </c>
      <c r="F715" s="15" t="str">
        <f>IFERROR(__xludf.DUMMYFUNCTION("GOOGLETRANSLATE(B715,""en"",""ar"")"),"يقترب")</f>
        <v>يقترب</v>
      </c>
    </row>
    <row r="716" ht="14.25" customHeight="1">
      <c r="A716" s="5"/>
      <c r="B716" s="2" t="s">
        <v>814</v>
      </c>
      <c r="C716" s="2">
        <v>22.0</v>
      </c>
      <c r="E716" s="14" t="s">
        <v>13</v>
      </c>
      <c r="F716" s="15" t="str">
        <f>IFERROR(__xludf.DUMMYFUNCTION("GOOGLETRANSLATE(B716,""en"",""ar"")"),"تجنب")</f>
        <v>تجنب</v>
      </c>
    </row>
    <row r="717" ht="14.25" customHeight="1">
      <c r="A717" s="5"/>
      <c r="B717" s="2" t="s">
        <v>815</v>
      </c>
      <c r="C717" s="2">
        <v>22.0</v>
      </c>
      <c r="E717" s="14" t="s">
        <v>120</v>
      </c>
      <c r="F717" s="15" t="str">
        <f>IFERROR(__xludf.DUMMYFUNCTION("GOOGLETRANSLATE(B717,""en"",""ar"")"),"كرة")</f>
        <v>كرة</v>
      </c>
    </row>
    <row r="718" ht="14.25" customHeight="1">
      <c r="A718" s="5"/>
      <c r="B718" s="2" t="s">
        <v>816</v>
      </c>
      <c r="C718" s="2">
        <v>22.0</v>
      </c>
      <c r="E718" s="14" t="s">
        <v>817</v>
      </c>
      <c r="F718" s="15" t="str">
        <f>IFERROR(__xludf.DUMMYFUNCTION("GOOGLETRANSLATE(B718,""en"",""ar"")"),"خلف")</f>
        <v>خلف</v>
      </c>
    </row>
    <row r="719" ht="14.25" customHeight="1">
      <c r="A719" s="5"/>
      <c r="B719" s="2" t="s">
        <v>818</v>
      </c>
      <c r="C719" s="2">
        <v>22.0</v>
      </c>
      <c r="E719" s="14" t="s">
        <v>43</v>
      </c>
      <c r="F719" s="15" t="str">
        <f>IFERROR(__xludf.DUMMYFUNCTION("GOOGLETRANSLATE(B719,""en"",""ar"")"),"من المؤكد")</f>
        <v>من المؤكد</v>
      </c>
    </row>
    <row r="720" ht="14.25" customHeight="1">
      <c r="A720" s="5"/>
      <c r="B720" s="2" t="s">
        <v>819</v>
      </c>
      <c r="C720" s="2">
        <v>22.0</v>
      </c>
      <c r="E720" s="14" t="s">
        <v>88</v>
      </c>
      <c r="F720" s="15" t="str">
        <f>IFERROR(__xludf.DUMMYFUNCTION("GOOGLETRANSLATE(B720,""en"",""ar"")"),"المعنية")</f>
        <v>المعنية</v>
      </c>
    </row>
    <row r="721" ht="14.25" customHeight="1">
      <c r="A721" s="5"/>
      <c r="B721" s="2" t="s">
        <v>820</v>
      </c>
      <c r="C721" s="2">
        <v>22.0</v>
      </c>
      <c r="E721" s="14" t="s">
        <v>95</v>
      </c>
      <c r="F721" s="15" t="str">
        <f>IFERROR(__xludf.DUMMYFUNCTION("GOOGLETRANSLATE(B721,""en"",""ar"")"),"التغطية")</f>
        <v>التغطية</v>
      </c>
    </row>
    <row r="722" ht="14.25" customHeight="1">
      <c r="A722" s="5"/>
      <c r="B722" s="2" t="s">
        <v>821</v>
      </c>
      <c r="C722" s="2">
        <v>22.0</v>
      </c>
      <c r="E722" s="14" t="s">
        <v>120</v>
      </c>
      <c r="F722" s="15" t="str">
        <f>IFERROR(__xludf.DUMMYFUNCTION("GOOGLETRANSLATE(B722,""en"",""ar"")"),"انضباط")</f>
        <v>انضباط</v>
      </c>
    </row>
    <row r="723" ht="14.25" customHeight="1">
      <c r="A723" s="5"/>
      <c r="B723" s="2" t="s">
        <v>822</v>
      </c>
      <c r="C723" s="2">
        <v>22.0</v>
      </c>
      <c r="E723" s="14" t="s">
        <v>80</v>
      </c>
      <c r="F723" s="15" t="str">
        <f>IFERROR(__xludf.DUMMYFUNCTION("GOOGLETRANSLATE(B723,""en"",""ar"")"),"موقعك")</f>
        <v>موقعك</v>
      </c>
    </row>
    <row r="724" ht="14.25" customHeight="1">
      <c r="A724" s="5"/>
      <c r="B724" s="2" t="s">
        <v>823</v>
      </c>
      <c r="C724" s="2">
        <v>22.0</v>
      </c>
      <c r="E724" s="14" t="s">
        <v>149</v>
      </c>
      <c r="F724" s="15" t="str">
        <f>IFERROR(__xludf.DUMMYFUNCTION("GOOGLETRANSLATE(B724,""en"",""ar"")"),"متوسط")</f>
        <v>متوسط</v>
      </c>
    </row>
    <row r="725" ht="14.25" customHeight="1">
      <c r="A725" s="5"/>
      <c r="B725" s="2" t="s">
        <v>824</v>
      </c>
      <c r="C725" s="2">
        <v>22.0</v>
      </c>
      <c r="E725" s="14" t="s">
        <v>43</v>
      </c>
      <c r="F725" s="15" t="str">
        <f>IFERROR(__xludf.DUMMYFUNCTION("GOOGLETRANSLATE(B725,""en"",""ar"")"),"بشكل طبيعي")</f>
        <v>بشكل طبيعي</v>
      </c>
    </row>
    <row r="726" ht="14.25" customHeight="1">
      <c r="A726" s="5"/>
      <c r="B726" s="2" t="s">
        <v>825</v>
      </c>
      <c r="C726" s="2">
        <v>22.0</v>
      </c>
      <c r="E726" s="14" t="s">
        <v>13</v>
      </c>
      <c r="F726" s="15" t="str">
        <f>IFERROR(__xludf.DUMMYFUNCTION("GOOGLETRANSLATE(B726,""en"",""ar"")"),"إعداد")</f>
        <v>إعداد</v>
      </c>
    </row>
    <row r="727" ht="14.25" customHeight="1">
      <c r="A727" s="5"/>
      <c r="B727" s="2" t="s">
        <v>826</v>
      </c>
      <c r="C727" s="2">
        <v>22.0</v>
      </c>
      <c r="E727" s="14" t="s">
        <v>337</v>
      </c>
      <c r="F727" s="15" t="str">
        <f>IFERROR(__xludf.DUMMYFUNCTION("GOOGLETRANSLATE(B727,""en"",""ar"")"),"سريع")</f>
        <v>سريع</v>
      </c>
    </row>
    <row r="728" ht="14.25" customHeight="1">
      <c r="A728" s="5"/>
      <c r="B728" s="2" t="s">
        <v>827</v>
      </c>
      <c r="C728" s="2">
        <v>22.0</v>
      </c>
      <c r="E728" s="14" t="s">
        <v>180</v>
      </c>
      <c r="F728" s="15" t="str">
        <f>IFERROR(__xludf.DUMMYFUNCTION("GOOGLETRANSLATE(B728,""en"",""ar"")"),"جاهز")</f>
        <v>جاهز</v>
      </c>
    </row>
    <row r="729" ht="14.25" customHeight="1">
      <c r="A729" s="5"/>
      <c r="B729" s="2" t="s">
        <v>828</v>
      </c>
      <c r="C729" s="2">
        <v>22.0</v>
      </c>
      <c r="E729" s="14" t="s">
        <v>95</v>
      </c>
      <c r="F729" s="15" t="str">
        <f>IFERROR(__xludf.DUMMYFUNCTION("GOOGLETRANSLATE(B729,""en"",""ar"")"),"أبلغ عن")</f>
        <v>أبلغ عن</v>
      </c>
    </row>
    <row r="730" ht="14.25" customHeight="1">
      <c r="A730" s="5"/>
      <c r="B730" s="2" t="s">
        <v>829</v>
      </c>
      <c r="C730" s="2">
        <v>22.0</v>
      </c>
      <c r="E730" s="14" t="s">
        <v>95</v>
      </c>
      <c r="F730" s="15" t="str">
        <f>IFERROR(__xludf.DUMMYFUNCTION("GOOGLETRANSLATE(B730,""en"",""ar"")"),"ترتفع")</f>
        <v>ترتفع</v>
      </c>
    </row>
    <row r="731" ht="14.25" customHeight="1">
      <c r="A731" s="5"/>
      <c r="B731" s="2" t="s">
        <v>830</v>
      </c>
      <c r="C731" s="2">
        <v>22.0</v>
      </c>
      <c r="E731" s="14" t="s">
        <v>120</v>
      </c>
      <c r="F731" s="15" t="str">
        <f>IFERROR(__xludf.DUMMYFUNCTION("GOOGLETRANSLATE(B731,""en"",""ar"")"),"شارك")</f>
        <v>شارك</v>
      </c>
    </row>
    <row r="732" ht="14.25" customHeight="1">
      <c r="A732" s="5"/>
      <c r="B732" s="2" t="s">
        <v>831</v>
      </c>
      <c r="C732" s="2">
        <v>22.0</v>
      </c>
      <c r="E732" s="14" t="s">
        <v>80</v>
      </c>
      <c r="F732" s="15" t="str">
        <f>IFERROR(__xludf.DUMMYFUNCTION("GOOGLETRANSLATE(B732,""en"",""ar"")"),"النجاح")</f>
        <v>النجاح</v>
      </c>
    </row>
    <row r="733" ht="14.25" customHeight="1">
      <c r="A733" s="5"/>
      <c r="B733" s="2" t="s">
        <v>832</v>
      </c>
      <c r="C733" s="2">
        <v>21.0</v>
      </c>
      <c r="E733" s="14" t="s">
        <v>80</v>
      </c>
      <c r="F733" s="15" t="str">
        <f>IFERROR(__xludf.DUMMYFUNCTION("GOOGLETRANSLATE(B733,""en"",""ar"")"),"إضافة")</f>
        <v>إضافة</v>
      </c>
    </row>
    <row r="734" ht="14.25" customHeight="1">
      <c r="A734" s="5"/>
      <c r="B734" s="2" t="s">
        <v>833</v>
      </c>
      <c r="C734" s="2">
        <v>21.0</v>
      </c>
      <c r="E734" s="14" t="s">
        <v>80</v>
      </c>
      <c r="F734" s="15" t="str">
        <f>IFERROR(__xludf.DUMMYFUNCTION("GOOGLETRANSLATE(B734,""en"",""ar"")"),"شقة")</f>
        <v>شقة</v>
      </c>
    </row>
    <row r="735" ht="14.25" customHeight="1">
      <c r="A735" s="5"/>
      <c r="B735" s="2" t="s">
        <v>834</v>
      </c>
      <c r="C735" s="2">
        <v>21.0</v>
      </c>
      <c r="E735" s="14" t="s">
        <v>120</v>
      </c>
      <c r="F735" s="15" t="str">
        <f>IFERROR(__xludf.DUMMYFUNCTION("GOOGLETRANSLATE(B735,""en"",""ar"")"),"الرصيد")</f>
        <v>الرصيد</v>
      </c>
    </row>
    <row r="736" ht="14.25" customHeight="1">
      <c r="A736" s="5"/>
      <c r="B736" s="2" t="s">
        <v>835</v>
      </c>
      <c r="C736" s="2">
        <v>21.0</v>
      </c>
      <c r="E736" s="14" t="s">
        <v>120</v>
      </c>
      <c r="F736" s="15" t="str">
        <f>IFERROR(__xludf.DUMMYFUNCTION("GOOGLETRANSLATE(B736,""en"",""ar"")"),"قليل")</f>
        <v>قليل</v>
      </c>
    </row>
    <row r="737" ht="14.25" customHeight="1">
      <c r="A737" s="5"/>
      <c r="B737" s="2" t="s">
        <v>836</v>
      </c>
      <c r="C737" s="2">
        <v>21.0</v>
      </c>
      <c r="E737" s="14" t="s">
        <v>837</v>
      </c>
      <c r="F737" s="15" t="str">
        <f>IFERROR(__xludf.DUMMYFUNCTION("GOOGLETRANSLATE(B737,""en"",""ar"")"),"أسود")</f>
        <v>أسود</v>
      </c>
    </row>
    <row r="738" ht="14.25" customHeight="1">
      <c r="A738" s="5"/>
      <c r="B738" s="2" t="s">
        <v>838</v>
      </c>
      <c r="C738" s="2">
        <v>21.0</v>
      </c>
      <c r="E738" s="14" t="s">
        <v>129</v>
      </c>
      <c r="F738" s="15" t="str">
        <f>IFERROR(__xludf.DUMMYFUNCTION("GOOGLETRANSLATE(B738,""en"",""ar"")"),"الأسفل")</f>
        <v>الأسفل</v>
      </c>
    </row>
    <row r="739" ht="14.25" customHeight="1">
      <c r="A739" s="5"/>
      <c r="B739" s="2" t="s">
        <v>839</v>
      </c>
      <c r="C739" s="2">
        <v>21.0</v>
      </c>
      <c r="E739" s="14" t="s">
        <v>13</v>
      </c>
      <c r="F739" s="15" t="str">
        <f>IFERROR(__xludf.DUMMYFUNCTION("GOOGLETRANSLATE(B739,""en"",""ar"")"),"يبني")</f>
        <v>يبني</v>
      </c>
    </row>
    <row r="740" ht="14.25" customHeight="1">
      <c r="A740" s="5"/>
      <c r="B740" s="2" t="s">
        <v>840</v>
      </c>
      <c r="C740" s="2">
        <v>21.0</v>
      </c>
      <c r="E740" s="14" t="s">
        <v>149</v>
      </c>
      <c r="F740" s="15" t="str">
        <f>IFERROR(__xludf.DUMMYFUNCTION("GOOGLETRANSLATE(B740,""en"",""ar"")"),"خيار")</f>
        <v>خيار</v>
      </c>
    </row>
    <row r="741" ht="14.25" customHeight="1">
      <c r="A741" s="5"/>
      <c r="B741" s="2" t="s">
        <v>841</v>
      </c>
      <c r="C741" s="2">
        <v>21.0</v>
      </c>
      <c r="E741" s="14" t="s">
        <v>80</v>
      </c>
      <c r="F741" s="15" t="str">
        <f>IFERROR(__xludf.DUMMYFUNCTION("GOOGLETRANSLATE(B741,""en"",""ar"")"),"التعليم")</f>
        <v>التعليم</v>
      </c>
    </row>
    <row r="742" ht="14.25" customHeight="1">
      <c r="A742" s="5"/>
      <c r="B742" s="2" t="s">
        <v>842</v>
      </c>
      <c r="C742" s="2">
        <v>21.0</v>
      </c>
      <c r="E742" s="14" t="s">
        <v>120</v>
      </c>
      <c r="F742" s="15" t="str">
        <f>IFERROR(__xludf.DUMMYFUNCTION("GOOGLETRANSLATE(B742,""en"",""ar"")"),"هدية مجانية")</f>
        <v>هدية مجانية</v>
      </c>
    </row>
    <row r="743" ht="14.25" customHeight="1">
      <c r="A743" s="5"/>
      <c r="B743" s="2" t="s">
        <v>843</v>
      </c>
      <c r="C743" s="2">
        <v>21.0</v>
      </c>
      <c r="E743" s="14" t="s">
        <v>120</v>
      </c>
      <c r="F743" s="15" t="str">
        <f>IFERROR(__xludf.DUMMYFUNCTION("GOOGLETRANSLATE(B743,""en"",""ar"")"),"تأثير")</f>
        <v>تأثير</v>
      </c>
    </row>
    <row r="744" ht="14.25" customHeight="1">
      <c r="A744" s="5"/>
      <c r="B744" s="2" t="s">
        <v>844</v>
      </c>
      <c r="C744" s="2">
        <v>21.0</v>
      </c>
      <c r="E744" s="14" t="s">
        <v>120</v>
      </c>
      <c r="F744" s="15" t="str">
        <f>IFERROR(__xludf.DUMMYFUNCTION("GOOGLETRANSLATE(B744,""en"",""ar"")"),"آلة")</f>
        <v>آلة</v>
      </c>
    </row>
    <row r="745" ht="14.25" customHeight="1">
      <c r="A745" s="5"/>
      <c r="B745" s="2" t="s">
        <v>845</v>
      </c>
      <c r="C745" s="2">
        <v>21.0</v>
      </c>
      <c r="E745" s="14" t="s">
        <v>80</v>
      </c>
      <c r="F745" s="15" t="str">
        <f>IFERROR(__xludf.DUMMYFUNCTION("GOOGLETRANSLATE(B745,""en"",""ar"")"),"الرياضيات")</f>
        <v>الرياضيات</v>
      </c>
    </row>
    <row r="746" ht="14.25" customHeight="1">
      <c r="A746" s="5"/>
      <c r="B746" s="2" t="s">
        <v>846</v>
      </c>
      <c r="C746" s="2">
        <v>21.0</v>
      </c>
      <c r="E746" s="14" t="s">
        <v>80</v>
      </c>
      <c r="F746" s="15" t="str">
        <f>IFERROR(__xludf.DUMMYFUNCTION("GOOGLETRANSLATE(B746,""en"",""ar"")"),"لحظة")</f>
        <v>لحظة</v>
      </c>
    </row>
    <row r="747" ht="14.25" customHeight="1">
      <c r="A747" s="5"/>
      <c r="B747" s="2" t="s">
        <v>847</v>
      </c>
      <c r="C747" s="2">
        <v>21.0</v>
      </c>
      <c r="E747" s="14" t="s">
        <v>80</v>
      </c>
      <c r="F747" s="15" t="str">
        <f>IFERROR(__xludf.DUMMYFUNCTION("GOOGLETRANSLATE(B747,""en"",""ar"")"),"لوحة")</f>
        <v>لوحة</v>
      </c>
    </row>
    <row r="748" ht="14.25" customHeight="1">
      <c r="A748" s="5"/>
      <c r="B748" s="2" t="s">
        <v>848</v>
      </c>
      <c r="C748" s="2">
        <v>21.0</v>
      </c>
      <c r="E748" s="14" t="s">
        <v>80</v>
      </c>
      <c r="F748" s="15" t="str">
        <f>IFERROR(__xludf.DUMMYFUNCTION("GOOGLETRANSLATE(B748,""en"",""ar"")"),"سياسة")</f>
        <v>سياسة</v>
      </c>
    </row>
    <row r="749" ht="14.25" customHeight="1">
      <c r="A749" s="5"/>
      <c r="B749" s="2" t="s">
        <v>849</v>
      </c>
      <c r="C749" s="2">
        <v>21.0</v>
      </c>
      <c r="E749" s="14" t="s">
        <v>120</v>
      </c>
      <c r="F749" s="15" t="str">
        <f>IFERROR(__xludf.DUMMYFUNCTION("GOOGLETRANSLATE(B749,""en"",""ar"")"),"شكل")</f>
        <v>شكل</v>
      </c>
    </row>
    <row r="750" ht="14.25" customHeight="1">
      <c r="A750" s="5"/>
      <c r="B750" s="2" t="s">
        <v>850</v>
      </c>
      <c r="C750" s="2">
        <v>21.0</v>
      </c>
      <c r="E750" s="14" t="s">
        <v>337</v>
      </c>
      <c r="F750" s="15" t="str">
        <f>IFERROR(__xludf.DUMMYFUNCTION("GOOGLETRANSLATE(B750,""en"",""ar"")"),"مستقيم")</f>
        <v>مستقيم</v>
      </c>
    </row>
    <row r="751" ht="14.25" customHeight="1">
      <c r="A751" s="5"/>
      <c r="B751" s="2" t="s">
        <v>851</v>
      </c>
      <c r="C751" s="2">
        <v>21.0</v>
      </c>
      <c r="E751" s="14" t="s">
        <v>120</v>
      </c>
      <c r="F751" s="15" t="str">
        <f>IFERROR(__xludf.DUMMYFUNCTION("GOOGLETRANSLATE(B751,""en"",""ar"")"),"أداة")</f>
        <v>أداة</v>
      </c>
    </row>
    <row r="752" ht="14.25" customHeight="1">
      <c r="A752" s="5"/>
      <c r="B752" s="2" t="s">
        <v>852</v>
      </c>
      <c r="C752" s="2">
        <v>21.0</v>
      </c>
      <c r="E752" s="14" t="s">
        <v>95</v>
      </c>
      <c r="F752" s="15" t="str">
        <f>IFERROR(__xludf.DUMMYFUNCTION("GOOGLETRANSLATE(B752,""en"",""ar"")"),"مشي")</f>
        <v>مشي</v>
      </c>
    </row>
    <row r="753" ht="14.25" customHeight="1">
      <c r="A753" s="5"/>
      <c r="B753" s="2" t="s">
        <v>853</v>
      </c>
      <c r="C753" s="2">
        <v>21.0</v>
      </c>
      <c r="E753" s="14" t="s">
        <v>406</v>
      </c>
      <c r="F753" s="15" t="str">
        <f>IFERROR(__xludf.DUMMYFUNCTION("GOOGLETRANSLATE(B753,""en"",""ar"")"),"أبيض")</f>
        <v>أبيض</v>
      </c>
    </row>
    <row r="754" ht="14.25" customHeight="1">
      <c r="A754" s="5"/>
      <c r="B754" s="2" t="s">
        <v>854</v>
      </c>
      <c r="C754" s="2">
        <v>21.0</v>
      </c>
      <c r="E754" s="14" t="s">
        <v>120</v>
      </c>
      <c r="F754" s="15" t="str">
        <f>IFERROR(__xludf.DUMMYFUNCTION("GOOGLETRANSLATE(B754,""en"",""ar"")"),"ريح")</f>
        <v>ريح</v>
      </c>
    </row>
    <row r="755" ht="14.25" customHeight="1">
      <c r="A755" s="5"/>
      <c r="B755" s="2" t="s">
        <v>855</v>
      </c>
      <c r="C755" s="2">
        <v>20.0</v>
      </c>
      <c r="E755" s="14" t="s">
        <v>13</v>
      </c>
      <c r="F755" s="15" t="str">
        <f>IFERROR(__xludf.DUMMYFUNCTION("GOOGLETRANSLATE(B755,""en"",""ar"")"),"التوصل")</f>
        <v>التوصل</v>
      </c>
    </row>
    <row r="756" ht="14.25" customHeight="1">
      <c r="A756" s="5"/>
      <c r="B756" s="2" t="s">
        <v>856</v>
      </c>
      <c r="C756" s="2">
        <v>20.0</v>
      </c>
      <c r="E756" s="14" t="s">
        <v>120</v>
      </c>
      <c r="F756" s="15" t="str">
        <f>IFERROR(__xludf.DUMMYFUNCTION("GOOGLETRANSLATE(B756,""en"",""ar"")"),"تبوك")</f>
        <v>تبوك</v>
      </c>
    </row>
    <row r="757" ht="14.25" customHeight="1">
      <c r="A757" s="5"/>
      <c r="B757" s="2" t="s">
        <v>857</v>
      </c>
      <c r="C757" s="2">
        <v>20.0</v>
      </c>
      <c r="E757" s="14" t="s">
        <v>80</v>
      </c>
      <c r="F757" s="15" t="str">
        <f>IFERROR(__xludf.DUMMYFUNCTION("GOOGLETRANSLATE(B757,""en"",""ar"")"),"الانتباه")</f>
        <v>الانتباه</v>
      </c>
    </row>
    <row r="758" ht="14.25" customHeight="1">
      <c r="A758" s="5"/>
      <c r="B758" s="2" t="s">
        <v>858</v>
      </c>
      <c r="C758" s="2">
        <v>20.0</v>
      </c>
      <c r="E758" s="14" t="s">
        <v>129</v>
      </c>
      <c r="F758" s="15" t="str">
        <f>IFERROR(__xludf.DUMMYFUNCTION("GOOGLETRANSLATE(B758,""en"",""ar"")"),"معدل")</f>
        <v>معدل</v>
      </c>
    </row>
    <row r="759" ht="14.25" customHeight="1">
      <c r="A759" s="5"/>
      <c r="B759" s="2" t="s">
        <v>859</v>
      </c>
      <c r="C759" s="2">
        <v>20.0</v>
      </c>
      <c r="E759" s="14" t="s">
        <v>13</v>
      </c>
      <c r="F759" s="15" t="str">
        <f>IFERROR(__xludf.DUMMYFUNCTION("GOOGLETRANSLATE(B759,""en"",""ar"")"),"يصدق")</f>
        <v>يصدق</v>
      </c>
    </row>
    <row r="760" ht="14.25" customHeight="1">
      <c r="A760" s="5"/>
      <c r="B760" s="2" t="s">
        <v>860</v>
      </c>
      <c r="C760" s="2">
        <v>20.0</v>
      </c>
      <c r="E760" s="14" t="s">
        <v>861</v>
      </c>
      <c r="F760" s="15" t="str">
        <f>IFERROR(__xludf.DUMMYFUNCTION("GOOGLETRANSLATE(B760,""en"",""ar"")"),"وَرَاءَ")</f>
        <v>وَرَاءَ</v>
      </c>
    </row>
    <row r="761" ht="14.25" customHeight="1">
      <c r="A761" s="5"/>
      <c r="B761" s="2" t="s">
        <v>862</v>
      </c>
      <c r="C761" s="2">
        <v>20.0</v>
      </c>
      <c r="E761" s="14" t="s">
        <v>129</v>
      </c>
      <c r="F761" s="15" t="str">
        <f>IFERROR(__xludf.DUMMYFUNCTION("GOOGLETRANSLATE(B761,""en"",""ar"")"),"مسار مهني مسار وظيفي")</f>
        <v>مسار مهني مسار وظيفي</v>
      </c>
    </row>
    <row r="762" ht="14.25" customHeight="1">
      <c r="A762" s="5"/>
      <c r="B762" s="2" t="s">
        <v>863</v>
      </c>
      <c r="C762" s="2">
        <v>20.0</v>
      </c>
      <c r="E762" s="14" t="s">
        <v>120</v>
      </c>
      <c r="F762" s="15" t="str">
        <f>IFERROR(__xludf.DUMMYFUNCTION("GOOGLETRANSLATE(B762,""en"",""ar"")"),"الثقافة")</f>
        <v>الثقافة</v>
      </c>
    </row>
    <row r="763" ht="14.25" customHeight="1">
      <c r="A763" s="5"/>
      <c r="B763" s="2" t="s">
        <v>864</v>
      </c>
      <c r="C763" s="2">
        <v>20.0</v>
      </c>
      <c r="E763" s="14" t="s">
        <v>80</v>
      </c>
      <c r="F763" s="15" t="str">
        <f>IFERROR(__xludf.DUMMYFUNCTION("GOOGLETRANSLATE(B763,""en"",""ar"")"),"قرار")</f>
        <v>قرار</v>
      </c>
    </row>
    <row r="764" ht="14.25" customHeight="1">
      <c r="A764" s="5"/>
      <c r="B764" s="2" t="s">
        <v>865</v>
      </c>
      <c r="C764" s="2">
        <v>20.0</v>
      </c>
      <c r="E764" s="14" t="s">
        <v>200</v>
      </c>
      <c r="F764" s="15" t="str">
        <f>IFERROR(__xludf.DUMMYFUNCTION("GOOGLETRANSLATE(B764,""en"",""ar"")"),"مباشرة")</f>
        <v>مباشرة</v>
      </c>
    </row>
    <row r="765" ht="14.25" customHeight="1">
      <c r="A765" s="5"/>
      <c r="B765" s="2" t="s">
        <v>866</v>
      </c>
      <c r="C765" s="2">
        <v>20.0</v>
      </c>
      <c r="E765" s="14" t="s">
        <v>80</v>
      </c>
      <c r="F765" s="15" t="str">
        <f>IFERROR(__xludf.DUMMYFUNCTION("GOOGLETRANSLATE(B765,""en"",""ar"")"),"حدث")</f>
        <v>حدث</v>
      </c>
    </row>
    <row r="766" ht="14.25" customHeight="1">
      <c r="A766" s="5"/>
      <c r="B766" s="2" t="s">
        <v>867</v>
      </c>
      <c r="C766" s="2">
        <v>20.0</v>
      </c>
      <c r="E766" s="14" t="s">
        <v>868</v>
      </c>
      <c r="F766" s="15" t="str">
        <f>IFERROR(__xludf.DUMMYFUNCTION("GOOGLETRANSLATE(B766,""en"",""ar"")"),"ممتاز")</f>
        <v>ممتاز</v>
      </c>
    </row>
    <row r="767" ht="14.25" customHeight="1">
      <c r="A767" s="5"/>
      <c r="B767" s="2" t="s">
        <v>869</v>
      </c>
      <c r="C767" s="2">
        <v>20.0</v>
      </c>
      <c r="E767" s="14" t="s">
        <v>337</v>
      </c>
      <c r="F767" s="15" t="str">
        <f>IFERROR(__xludf.DUMMYFUNCTION("GOOGLETRANSLATE(B767,""en"",""ar"")"),"إضافي")</f>
        <v>إضافي</v>
      </c>
    </row>
    <row r="768" ht="14.25" customHeight="1">
      <c r="A768" s="5"/>
      <c r="B768" s="2" t="s">
        <v>870</v>
      </c>
      <c r="C768" s="2">
        <v>20.0</v>
      </c>
      <c r="E768" s="14" t="s">
        <v>113</v>
      </c>
      <c r="F768" s="15" t="str">
        <f>IFERROR(__xludf.DUMMYFUNCTION("GOOGLETRANSLATE(B768,""en"",""ar"")"),"ذكي")</f>
        <v>ذكي</v>
      </c>
    </row>
    <row r="769" ht="14.25" customHeight="1">
      <c r="A769" s="5"/>
      <c r="B769" s="2" t="s">
        <v>871</v>
      </c>
      <c r="C769" s="2">
        <v>20.0</v>
      </c>
      <c r="E769" s="14" t="s">
        <v>113</v>
      </c>
      <c r="F769" s="15" t="str">
        <f>IFERROR(__xludf.DUMMYFUNCTION("GOOGLETRANSLATE(B769,""en"",""ar"")"),"مثير للإعجاب")</f>
        <v>مثير للإعجاب</v>
      </c>
    </row>
    <row r="770" ht="14.25" customHeight="1">
      <c r="A770" s="5"/>
      <c r="B770" s="2" t="s">
        <v>872</v>
      </c>
      <c r="C770" s="2">
        <v>20.0</v>
      </c>
      <c r="E770" s="14" t="s">
        <v>236</v>
      </c>
      <c r="F770" s="15" t="str">
        <f>IFERROR(__xludf.DUMMYFUNCTION("GOOGLETRANSLATE(B770,""en"",""ar"")"),"نجارة")</f>
        <v>نجارة</v>
      </c>
    </row>
    <row r="771" ht="14.25" customHeight="1">
      <c r="A771" s="5"/>
      <c r="B771" s="2" t="s">
        <v>873</v>
      </c>
      <c r="C771" s="2">
        <v>20.0</v>
      </c>
      <c r="E771" s="14" t="s">
        <v>786</v>
      </c>
      <c r="F771" s="15" t="str">
        <f>IFERROR(__xludf.DUMMYFUNCTION("GOOGLETRANSLATE(B771,""en"",""ar"")"),"صباح")</f>
        <v>صباح</v>
      </c>
    </row>
    <row r="772" ht="14.25" customHeight="1">
      <c r="A772" s="5"/>
      <c r="B772" s="2" t="s">
        <v>874</v>
      </c>
      <c r="C772" s="2">
        <v>20.0</v>
      </c>
      <c r="E772" s="14" t="s">
        <v>95</v>
      </c>
      <c r="F772" s="15" t="str">
        <f>IFERROR(__xludf.DUMMYFUNCTION("GOOGLETRANSLATE(B772,""en"",""ar"")"),"قطف او يقطف")</f>
        <v>قطف او يقطف</v>
      </c>
    </row>
    <row r="773" ht="14.25" customHeight="1">
      <c r="A773" s="5"/>
      <c r="B773" s="2" t="s">
        <v>875</v>
      </c>
      <c r="C773" s="2">
        <v>20.0</v>
      </c>
      <c r="E773" s="14" t="s">
        <v>113</v>
      </c>
      <c r="F773" s="15" t="str">
        <f>IFERROR(__xludf.DUMMYFUNCTION("GOOGLETRANSLATE(B773,""en"",""ar"")"),"فقير")</f>
        <v>فقير</v>
      </c>
    </row>
    <row r="774" ht="14.25" customHeight="1">
      <c r="A774" s="5"/>
      <c r="B774" s="2" t="s">
        <v>876</v>
      </c>
      <c r="C774" s="2">
        <v>20.0</v>
      </c>
      <c r="E774" s="14" t="s">
        <v>120</v>
      </c>
      <c r="F774" s="15" t="str">
        <f>IFERROR(__xludf.DUMMYFUNCTION("GOOGLETRANSLATE(B774,""en"",""ar"")"),"وعاء")</f>
        <v>وعاء</v>
      </c>
    </row>
    <row r="775" ht="14.25" customHeight="1">
      <c r="A775" s="5"/>
      <c r="B775" s="2" t="s">
        <v>877</v>
      </c>
      <c r="C775" s="2">
        <v>20.0</v>
      </c>
      <c r="E775" s="14" t="s">
        <v>206</v>
      </c>
      <c r="F775" s="15" t="str">
        <f>IFERROR(__xludf.DUMMYFUNCTION("GOOGLETRANSLATE(B775,""en"",""ar"")"),"جميل")</f>
        <v>جميل</v>
      </c>
    </row>
    <row r="776" ht="14.25" customHeight="1">
      <c r="A776" s="5"/>
      <c r="B776" s="2" t="s">
        <v>878</v>
      </c>
      <c r="C776" s="2">
        <v>20.0</v>
      </c>
      <c r="E776" s="14" t="s">
        <v>80</v>
      </c>
      <c r="F776" s="15" t="str">
        <f>IFERROR(__xludf.DUMMYFUNCTION("GOOGLETRANSLATE(B776,""en"",""ar"")"),"منشأه")</f>
        <v>منشأه</v>
      </c>
    </row>
    <row r="777" ht="14.25" customHeight="1">
      <c r="A777" s="5"/>
      <c r="B777" s="2" t="s">
        <v>879</v>
      </c>
      <c r="C777" s="2">
        <v>20.0</v>
      </c>
      <c r="E777" s="14" t="s">
        <v>13</v>
      </c>
      <c r="F777" s="15" t="str">
        <f>IFERROR(__xludf.DUMMYFUNCTION("GOOGLETRANSLATE(B777,""en"",""ar"")"),"تلقى")</f>
        <v>تلقى</v>
      </c>
    </row>
    <row r="778" ht="14.25" customHeight="1">
      <c r="A778" s="5"/>
      <c r="B778" s="2" t="s">
        <v>880</v>
      </c>
      <c r="C778" s="2">
        <v>20.0</v>
      </c>
      <c r="E778" s="14" t="s">
        <v>13</v>
      </c>
      <c r="F778" s="15" t="str">
        <f>IFERROR(__xludf.DUMMYFUNCTION("GOOGLETRANSLATE(B778,""en"",""ar"")"),"يبدو")</f>
        <v>يبدو</v>
      </c>
    </row>
    <row r="779" ht="14.25" customHeight="1">
      <c r="A779" s="5"/>
      <c r="B779" s="2" t="s">
        <v>881</v>
      </c>
      <c r="C779" s="2">
        <v>20.0</v>
      </c>
      <c r="E779" s="14" t="s">
        <v>80</v>
      </c>
      <c r="F779" s="15" t="str">
        <f>IFERROR(__xludf.DUMMYFUNCTION("GOOGLETRANSLATE(B779,""en"",""ar"")"),"التسوق")</f>
        <v>التسوق</v>
      </c>
    </row>
    <row r="780" ht="14.25" customHeight="1">
      <c r="A780" s="5"/>
      <c r="B780" s="2" t="s">
        <v>882</v>
      </c>
      <c r="C780" s="2">
        <v>20.0</v>
      </c>
      <c r="E780" s="14" t="s">
        <v>120</v>
      </c>
      <c r="F780" s="15" t="str">
        <f>IFERROR(__xludf.DUMMYFUNCTION("GOOGLETRANSLATE(B780,""en"",""ar"")"),"إشارة")</f>
        <v>إشارة</v>
      </c>
    </row>
    <row r="781" ht="14.25" customHeight="1">
      <c r="A781" s="5"/>
      <c r="B781" s="2" t="s">
        <v>883</v>
      </c>
      <c r="C781" s="2">
        <v>20.0</v>
      </c>
      <c r="E781" s="14" t="s">
        <v>80</v>
      </c>
      <c r="F781" s="15" t="str">
        <f>IFERROR(__xludf.DUMMYFUNCTION("GOOGLETRANSLATE(B781,""en"",""ar"")"),"طالب علم")</f>
        <v>طالب علم</v>
      </c>
    </row>
    <row r="782" ht="14.25" customHeight="1">
      <c r="A782" s="5"/>
      <c r="B782" s="2" t="s">
        <v>884</v>
      </c>
      <c r="C782" s="2">
        <v>20.0</v>
      </c>
      <c r="E782" s="14" t="s">
        <v>120</v>
      </c>
      <c r="F782" s="15" t="str">
        <f>IFERROR(__xludf.DUMMYFUNCTION("GOOGLETRANSLATE(B782,""en"",""ar"")"),"الطاولة")</f>
        <v>الطاولة</v>
      </c>
    </row>
    <row r="783" ht="14.25" customHeight="1">
      <c r="A783" s="5"/>
      <c r="B783" s="2" t="s">
        <v>885</v>
      </c>
      <c r="C783" s="2">
        <v>20.0</v>
      </c>
      <c r="E783" s="14" t="s">
        <v>120</v>
      </c>
      <c r="F783" s="15" t="str">
        <f>IFERROR(__xludf.DUMMYFUNCTION("GOOGLETRANSLATE(B783,""en"",""ar"")"),"مهمة")</f>
        <v>مهمة</v>
      </c>
    </row>
    <row r="784" ht="14.25" customHeight="1">
      <c r="A784" s="5"/>
      <c r="B784" s="2" t="s">
        <v>886</v>
      </c>
      <c r="C784" s="2">
        <v>20.0</v>
      </c>
      <c r="E784" s="14" t="s">
        <v>236</v>
      </c>
      <c r="F784" s="15" t="str">
        <f>IFERROR(__xludf.DUMMYFUNCTION("GOOGLETRANSLATE(B784,""en"",""ar"")"),"فريدة من نوعها")</f>
        <v>فريدة من نوعها</v>
      </c>
    </row>
    <row r="785" ht="14.25" customHeight="1">
      <c r="A785" s="5"/>
      <c r="B785" s="2" t="s">
        <v>887</v>
      </c>
      <c r="C785" s="2">
        <v>20.0</v>
      </c>
      <c r="E785" s="14" t="s">
        <v>80</v>
      </c>
      <c r="F785" s="15" t="str">
        <f>IFERROR(__xludf.DUMMYFUNCTION("GOOGLETRANSLATE(B785,""en"",""ar"")"),"خشب")</f>
        <v>خشب</v>
      </c>
    </row>
    <row r="786" ht="14.25" customHeight="1">
      <c r="A786" s="5"/>
      <c r="B786" s="2" t="s">
        <v>888</v>
      </c>
      <c r="C786" s="2">
        <v>19.0</v>
      </c>
      <c r="E786" s="14" t="s">
        <v>889</v>
      </c>
      <c r="F786" s="15" t="str">
        <f>IFERROR(__xludf.DUMMYFUNCTION("GOOGLETRANSLATE(B786,""en"",""ar"")"),"اى شئ")</f>
        <v>اى شئ</v>
      </c>
    </row>
    <row r="787" ht="14.25" customHeight="1">
      <c r="A787" s="5"/>
      <c r="B787" s="2" t="s">
        <v>890</v>
      </c>
      <c r="C787" s="2">
        <v>19.0</v>
      </c>
      <c r="E787" s="14" t="s">
        <v>236</v>
      </c>
      <c r="F787" s="15" t="str">
        <f>IFERROR(__xludf.DUMMYFUNCTION("GOOGLETRANSLATE(B787,""en"",""ar"")"),"كلاسيكي")</f>
        <v>كلاسيكي</v>
      </c>
    </row>
    <row r="788" ht="14.25" customHeight="1">
      <c r="A788" s="5"/>
      <c r="B788" s="2" t="s">
        <v>891</v>
      </c>
      <c r="C788" s="2">
        <v>19.0</v>
      </c>
      <c r="E788" s="14" t="s">
        <v>80</v>
      </c>
      <c r="F788" s="15" t="str">
        <f>IFERROR(__xludf.DUMMYFUNCTION("GOOGLETRANSLATE(B788,""en"",""ar"")"),"منافسة")</f>
        <v>منافسة</v>
      </c>
    </row>
    <row r="789" ht="14.25" customHeight="1">
      <c r="A789" s="5"/>
      <c r="B789" s="2" t="s">
        <v>892</v>
      </c>
      <c r="C789" s="2">
        <v>19.0</v>
      </c>
      <c r="E789" s="14" t="s">
        <v>120</v>
      </c>
      <c r="F789" s="15" t="str">
        <f>IFERROR(__xludf.DUMMYFUNCTION("GOOGLETRANSLATE(B789,""en"",""ar"")"),"حالة")</f>
        <v>حالة</v>
      </c>
    </row>
    <row r="790" ht="14.25" customHeight="1">
      <c r="A790" s="5"/>
      <c r="B790" s="2" t="s">
        <v>893</v>
      </c>
      <c r="C790" s="2">
        <v>19.0</v>
      </c>
      <c r="E790" s="14" t="s">
        <v>120</v>
      </c>
      <c r="F790" s="15" t="str">
        <f>IFERROR(__xludf.DUMMYFUNCTION("GOOGLETRANSLATE(B790,""en"",""ar"")"),"اتصل")</f>
        <v>اتصل</v>
      </c>
    </row>
    <row r="791" ht="14.25" customHeight="1">
      <c r="A791" s="5"/>
      <c r="B791" s="2" t="s">
        <v>894</v>
      </c>
      <c r="C791" s="2">
        <v>19.0</v>
      </c>
      <c r="E791" s="14" t="s">
        <v>120</v>
      </c>
      <c r="F791" s="15" t="str">
        <f>IFERROR(__xludf.DUMMYFUNCTION("GOOGLETRANSLATE(B791,""en"",""ar"")"),"الإئتمان")</f>
        <v>الإئتمان</v>
      </c>
    </row>
    <row r="792" ht="14.25" customHeight="1">
      <c r="A792" s="5"/>
      <c r="B792" s="2" t="s">
        <v>895</v>
      </c>
      <c r="C792" s="2">
        <v>19.0</v>
      </c>
      <c r="E792" s="14" t="s">
        <v>43</v>
      </c>
      <c r="F792" s="15" t="str">
        <f>IFERROR(__xludf.DUMMYFUNCTION("GOOGLETRANSLATE(B792,""en"",""ar"")"),"حالياً")</f>
        <v>حالياً</v>
      </c>
    </row>
    <row r="793" ht="14.25" customHeight="1">
      <c r="A793" s="5"/>
      <c r="B793" s="2" t="s">
        <v>896</v>
      </c>
      <c r="C793" s="2">
        <v>19.0</v>
      </c>
      <c r="E793" s="14" t="s">
        <v>13</v>
      </c>
      <c r="F793" s="15" t="str">
        <f>IFERROR(__xludf.DUMMYFUNCTION("GOOGLETRANSLATE(B793,""en"",""ar"")"),"تناقش")</f>
        <v>تناقش</v>
      </c>
    </row>
    <row r="794" ht="14.25" customHeight="1">
      <c r="A794" s="5"/>
      <c r="B794" s="2" t="s">
        <v>897</v>
      </c>
      <c r="C794" s="2">
        <v>19.0</v>
      </c>
      <c r="E794" s="14" t="s">
        <v>80</v>
      </c>
      <c r="F794" s="15" t="str">
        <f>IFERROR(__xludf.DUMMYFUNCTION("GOOGLETRANSLATE(B794,""en"",""ar"")"),"توزيع")</f>
        <v>توزيع</v>
      </c>
    </row>
    <row r="795" ht="14.25" customHeight="1">
      <c r="A795" s="5"/>
      <c r="B795" s="2" t="s">
        <v>898</v>
      </c>
      <c r="C795" s="2">
        <v>19.0</v>
      </c>
      <c r="E795" s="14" t="s">
        <v>120</v>
      </c>
      <c r="F795" s="15" t="str">
        <f>IFERROR(__xludf.DUMMYFUNCTION("GOOGLETRANSLATE(B795,""en"",""ar"")"),"بيضة")</f>
        <v>بيضة</v>
      </c>
    </row>
    <row r="796" ht="14.25" customHeight="1">
      <c r="A796" s="5"/>
      <c r="B796" s="2" t="s">
        <v>899</v>
      </c>
      <c r="C796" s="2">
        <v>19.0</v>
      </c>
      <c r="E796" s="14" t="s">
        <v>80</v>
      </c>
      <c r="F796" s="15" t="str">
        <f>IFERROR(__xludf.DUMMYFUNCTION("GOOGLETRANSLATE(B796,""en"",""ar"")"),"وسائل الترفيه")</f>
        <v>وسائل الترفيه</v>
      </c>
    </row>
    <row r="797" ht="14.25" customHeight="1">
      <c r="A797" s="5"/>
      <c r="B797" s="2" t="s">
        <v>900</v>
      </c>
      <c r="C797" s="2">
        <v>19.0</v>
      </c>
      <c r="E797" s="14" t="s">
        <v>236</v>
      </c>
      <c r="F797" s="15" t="str">
        <f>IFERROR(__xludf.DUMMYFUNCTION("GOOGLETRANSLATE(B797,""en"",""ar"")"),"نهائي")</f>
        <v>نهائي</v>
      </c>
    </row>
    <row r="798" ht="14.25" customHeight="1">
      <c r="A798" s="5"/>
      <c r="B798" s="2" t="s">
        <v>901</v>
      </c>
      <c r="C798" s="2">
        <v>19.0</v>
      </c>
      <c r="E798" s="14" t="s">
        <v>113</v>
      </c>
      <c r="F798" s="15" t="str">
        <f>IFERROR(__xludf.DUMMYFUNCTION("GOOGLETRANSLATE(B798,""en"",""ar"")"),"سعيدة")</f>
        <v>سعيدة</v>
      </c>
    </row>
    <row r="799" ht="14.25" customHeight="1">
      <c r="A799" s="5"/>
      <c r="B799" s="2" t="s">
        <v>902</v>
      </c>
      <c r="C799" s="2">
        <v>19.0</v>
      </c>
      <c r="E799" s="14" t="s">
        <v>120</v>
      </c>
      <c r="F799" s="15" t="str">
        <f>IFERROR(__xludf.DUMMYFUNCTION("GOOGLETRANSLATE(B799,""en"",""ar"")"),"أمل")</f>
        <v>أمل</v>
      </c>
    </row>
    <row r="800" ht="14.25" customHeight="1">
      <c r="A800" s="5"/>
      <c r="B800" s="2" t="s">
        <v>903</v>
      </c>
      <c r="C800" s="2">
        <v>19.0</v>
      </c>
      <c r="E800" s="14" t="s">
        <v>120</v>
      </c>
      <c r="F800" s="15" t="str">
        <f>IFERROR(__xludf.DUMMYFUNCTION("GOOGLETRANSLATE(B800,""en"",""ar"")"),"جليد")</f>
        <v>جليد</v>
      </c>
    </row>
    <row r="801" ht="14.25" customHeight="1">
      <c r="A801" s="5"/>
      <c r="B801" s="2" t="s">
        <v>904</v>
      </c>
      <c r="C801" s="2">
        <v>19.0</v>
      </c>
      <c r="E801" s="14" t="s">
        <v>95</v>
      </c>
      <c r="F801" s="15" t="str">
        <f>IFERROR(__xludf.DUMMYFUNCTION("GOOGLETRANSLATE(B801,""en"",""ar"")"),"يرفع")</f>
        <v>يرفع</v>
      </c>
    </row>
    <row r="802" ht="14.25" customHeight="1">
      <c r="A802" s="5"/>
      <c r="B802" s="2" t="s">
        <v>905</v>
      </c>
      <c r="C802" s="2">
        <v>19.0</v>
      </c>
      <c r="E802" s="14" t="s">
        <v>95</v>
      </c>
      <c r="F802" s="15" t="str">
        <f>IFERROR(__xludf.DUMMYFUNCTION("GOOGLETRANSLATE(B802,""en"",""ar"")"),"مزج")</f>
        <v>مزج</v>
      </c>
    </row>
    <row r="803" ht="14.25" customHeight="1">
      <c r="A803" s="5"/>
      <c r="B803" s="2" t="s">
        <v>906</v>
      </c>
      <c r="C803" s="2">
        <v>19.0</v>
      </c>
      <c r="E803" s="14" t="s">
        <v>120</v>
      </c>
      <c r="F803" s="15" t="str">
        <f>IFERROR(__xludf.DUMMYFUNCTION("GOOGLETRANSLATE(B803,""en"",""ar"")"),"شبكة الاتصال")</f>
        <v>شبكة الاتصال</v>
      </c>
    </row>
    <row r="804" ht="14.25" customHeight="1">
      <c r="A804" s="5"/>
      <c r="B804" s="2" t="s">
        <v>907</v>
      </c>
      <c r="C804" s="2">
        <v>19.0</v>
      </c>
      <c r="E804" s="14" t="s">
        <v>908</v>
      </c>
      <c r="F804" s="15" t="str">
        <f>IFERROR(__xludf.DUMMYFUNCTION("GOOGLETRANSLATE(B804,""en"",""ar"")"),"شمال")</f>
        <v>شمال</v>
      </c>
    </row>
    <row r="805" ht="14.25" customHeight="1">
      <c r="A805" s="5"/>
      <c r="B805" s="2" t="s">
        <v>909</v>
      </c>
      <c r="C805" s="2">
        <v>19.0</v>
      </c>
      <c r="E805" s="14" t="s">
        <v>80</v>
      </c>
      <c r="F805" s="15" t="str">
        <f>IFERROR(__xludf.DUMMYFUNCTION("GOOGLETRANSLATE(B805,""en"",""ar"")"),"مكتب")</f>
        <v>مكتب</v>
      </c>
    </row>
    <row r="806" ht="14.25" customHeight="1">
      <c r="A806" s="5"/>
      <c r="B806" s="2" t="s">
        <v>910</v>
      </c>
      <c r="C806" s="2">
        <v>19.0</v>
      </c>
      <c r="E806" s="14" t="s">
        <v>337</v>
      </c>
      <c r="F806" s="15" t="str">
        <f>IFERROR(__xludf.DUMMYFUNCTION("GOOGLETRANSLATE(B806,""en"",""ar"")"),"شاملة")</f>
        <v>شاملة</v>
      </c>
    </row>
    <row r="807" ht="14.25" customHeight="1">
      <c r="A807" s="5"/>
      <c r="B807" s="2" t="s">
        <v>911</v>
      </c>
      <c r="C807" s="2">
        <v>19.0</v>
      </c>
      <c r="E807" s="14" t="s">
        <v>80</v>
      </c>
      <c r="F807" s="15" t="str">
        <f>IFERROR(__xludf.DUMMYFUNCTION("GOOGLETRANSLATE(B807,""en"",""ar"")"),"تعداد السكان")</f>
        <v>تعداد السكان</v>
      </c>
    </row>
    <row r="808" ht="14.25" customHeight="1">
      <c r="A808" s="5"/>
      <c r="B808" s="2" t="s">
        <v>912</v>
      </c>
      <c r="C808" s="2">
        <v>19.0</v>
      </c>
      <c r="E808" s="14" t="s">
        <v>80</v>
      </c>
      <c r="F808" s="15" t="str">
        <f>IFERROR(__xludf.DUMMYFUNCTION("GOOGLETRANSLATE(B808,""en"",""ar"")"),"رئيس")</f>
        <v>رئيس</v>
      </c>
    </row>
    <row r="809" ht="14.25" customHeight="1">
      <c r="A809" s="5"/>
      <c r="B809" s="2" t="s">
        <v>913</v>
      </c>
      <c r="C809" s="2">
        <v>19.0</v>
      </c>
      <c r="E809" s="14" t="s">
        <v>236</v>
      </c>
      <c r="F809" s="15" t="str">
        <f>IFERROR(__xludf.DUMMYFUNCTION("GOOGLETRANSLATE(B809,""en"",""ar"")"),"خاص")</f>
        <v>خاص</v>
      </c>
    </row>
    <row r="810" ht="14.25" customHeight="1">
      <c r="A810" s="5"/>
      <c r="B810" s="2" t="s">
        <v>914</v>
      </c>
      <c r="C810" s="2">
        <v>19.0</v>
      </c>
      <c r="E810" s="14" t="s">
        <v>13</v>
      </c>
      <c r="F810" s="15" t="str">
        <f>IFERROR(__xludf.DUMMYFUNCTION("GOOGLETRANSLATE(B810,""en"",""ar"")"),"تدرك")</f>
        <v>تدرك</v>
      </c>
    </row>
    <row r="811" ht="14.25" customHeight="1">
      <c r="A811" s="5"/>
      <c r="B811" s="2" t="s">
        <v>915</v>
      </c>
      <c r="C811" s="2">
        <v>19.0</v>
      </c>
      <c r="E811" s="14" t="s">
        <v>113</v>
      </c>
      <c r="F811" s="15" t="str">
        <f>IFERROR(__xludf.DUMMYFUNCTION("GOOGLETRANSLATE(B811,""en"",""ar"")"),"مسؤول")</f>
        <v>مسؤول</v>
      </c>
    </row>
    <row r="812" ht="14.25" customHeight="1">
      <c r="A812" s="5"/>
      <c r="B812" s="2" t="s">
        <v>916</v>
      </c>
      <c r="C812" s="2">
        <v>19.0</v>
      </c>
      <c r="E812" s="14" t="s">
        <v>510</v>
      </c>
      <c r="F812" s="15" t="str">
        <f>IFERROR(__xludf.DUMMYFUNCTION("GOOGLETRANSLATE(B812,""en"",""ar"")"),"متفرق")</f>
        <v>متفرق</v>
      </c>
    </row>
    <row r="813" ht="14.25" customHeight="1">
      <c r="A813" s="5"/>
      <c r="B813" s="2" t="s">
        <v>917</v>
      </c>
      <c r="C813" s="2">
        <v>19.0</v>
      </c>
      <c r="E813" s="14" t="s">
        <v>908</v>
      </c>
      <c r="F813" s="15" t="str">
        <f>IFERROR(__xludf.DUMMYFUNCTION("GOOGLETRANSLATE(B813,""en"",""ar"")"),"ميدان")</f>
        <v>ميدان</v>
      </c>
    </row>
    <row r="814" ht="14.25" customHeight="1">
      <c r="A814" s="5"/>
      <c r="B814" s="2" t="s">
        <v>918</v>
      </c>
      <c r="C814" s="2">
        <v>19.0</v>
      </c>
      <c r="E814" s="14" t="s">
        <v>95</v>
      </c>
      <c r="F814" s="15" t="str">
        <f>IFERROR(__xludf.DUMMYFUNCTION("GOOGLETRANSLATE(B814,""en"",""ar"")"),"قف")</f>
        <v>قف</v>
      </c>
    </row>
    <row r="815" ht="14.25" customHeight="1">
      <c r="A815" s="5"/>
      <c r="B815" s="2" t="s">
        <v>919</v>
      </c>
      <c r="C815" s="2">
        <v>19.0</v>
      </c>
      <c r="E815" s="14" t="s">
        <v>95</v>
      </c>
      <c r="F815" s="15" t="str">
        <f>IFERROR(__xludf.DUMMYFUNCTION("GOOGLETRANSLATE(B815,""en"",""ar"")"),"يعلم")</f>
        <v>يعلم</v>
      </c>
    </row>
    <row r="816" ht="14.25" customHeight="1">
      <c r="A816" s="5"/>
      <c r="B816" s="2" t="s">
        <v>920</v>
      </c>
      <c r="C816" s="2">
        <v>19.0</v>
      </c>
      <c r="E816" s="14" t="s">
        <v>80</v>
      </c>
      <c r="F816" s="15" t="str">
        <f>IFERROR(__xludf.DUMMYFUNCTION("GOOGLETRANSLATE(B816,""en"",""ar"")"),"وحدة")</f>
        <v>وحدة</v>
      </c>
    </row>
    <row r="817" ht="14.25" customHeight="1">
      <c r="A817" s="5"/>
      <c r="B817" s="2" t="s">
        <v>921</v>
      </c>
      <c r="C817" s="2">
        <v>19.0</v>
      </c>
      <c r="E817" s="14" t="s">
        <v>236</v>
      </c>
      <c r="F817" s="15" t="str">
        <f>IFERROR(__xludf.DUMMYFUNCTION("GOOGLETRANSLATE(B817,""en"",""ar"")"),"الغربي")</f>
        <v>الغربي</v>
      </c>
    </row>
    <row r="818" ht="14.25" customHeight="1">
      <c r="A818" s="5"/>
      <c r="B818" s="2" t="s">
        <v>922</v>
      </c>
      <c r="C818" s="2">
        <v>19.0</v>
      </c>
      <c r="E818" s="14" t="s">
        <v>204</v>
      </c>
      <c r="F818" s="15" t="str">
        <f>IFERROR(__xludf.DUMMYFUNCTION("GOOGLETRANSLATE(B818,""en"",""ar"")"),"نعم")</f>
        <v>نعم</v>
      </c>
    </row>
    <row r="819" ht="14.25" customHeight="1">
      <c r="A819" s="5"/>
      <c r="B819" s="2" t="s">
        <v>923</v>
      </c>
      <c r="C819" s="2">
        <v>18.0</v>
      </c>
      <c r="E819" s="14" t="s">
        <v>51</v>
      </c>
      <c r="F819" s="15" t="str">
        <f>IFERROR(__xludf.DUMMYFUNCTION("GOOGLETRANSLATE(B819,""en"",""ar"")"),"وحده")</f>
        <v>وحده</v>
      </c>
    </row>
    <row r="820" ht="14.25" customHeight="1">
      <c r="A820" s="5"/>
      <c r="B820" s="2" t="s">
        <v>924</v>
      </c>
      <c r="C820" s="2">
        <v>18.0</v>
      </c>
      <c r="E820" s="14" t="s">
        <v>120</v>
      </c>
      <c r="F820" s="15" t="str">
        <f>IFERROR(__xludf.DUMMYFUNCTION("GOOGLETRANSLATE(B820,""en"",""ar"")"),"محاولة")</f>
        <v>محاولة</v>
      </c>
    </row>
    <row r="821" ht="14.25" customHeight="1">
      <c r="A821" s="5"/>
      <c r="B821" s="2" t="s">
        <v>925</v>
      </c>
      <c r="C821" s="2">
        <v>18.0</v>
      </c>
      <c r="E821" s="14" t="s">
        <v>80</v>
      </c>
      <c r="F821" s="15" t="str">
        <f>IFERROR(__xludf.DUMMYFUNCTION("GOOGLETRANSLATE(B821,""en"",""ar"")"),"الفئة")</f>
        <v>الفئة</v>
      </c>
    </row>
    <row r="822" ht="14.25" customHeight="1">
      <c r="A822" s="5"/>
      <c r="B822" s="2" t="s">
        <v>926</v>
      </c>
      <c r="C822" s="2">
        <v>18.0</v>
      </c>
      <c r="E822" s="14" t="s">
        <v>80</v>
      </c>
      <c r="F822" s="15" t="str">
        <f>IFERROR(__xludf.DUMMYFUNCTION("GOOGLETRANSLATE(B822,""en"",""ar"")"),"سيجارة")</f>
        <v>سيجارة</v>
      </c>
    </row>
    <row r="823" ht="14.25" customHeight="1">
      <c r="A823" s="5"/>
      <c r="B823" s="2" t="s">
        <v>927</v>
      </c>
      <c r="C823" s="2">
        <v>18.0</v>
      </c>
      <c r="E823" s="14" t="s">
        <v>95</v>
      </c>
      <c r="F823" s="15" t="str">
        <f>IFERROR(__xludf.DUMMYFUNCTION("GOOGLETRANSLATE(B823,""en"",""ar"")"),"الاهتمام")</f>
        <v>الاهتمام</v>
      </c>
    </row>
    <row r="824" ht="14.25" customHeight="1">
      <c r="A824" s="5"/>
      <c r="B824" s="2" t="s">
        <v>928</v>
      </c>
      <c r="C824" s="2">
        <v>18.0</v>
      </c>
      <c r="E824" s="14" t="s">
        <v>13</v>
      </c>
      <c r="F824" s="15" t="str">
        <f>IFERROR(__xludf.DUMMYFUNCTION("GOOGLETRANSLATE(B824,""en"",""ar"")"),"يحتوي")</f>
        <v>يحتوي</v>
      </c>
    </row>
    <row r="825" ht="14.25" customHeight="1">
      <c r="A825" s="5"/>
      <c r="B825" s="2" t="s">
        <v>929</v>
      </c>
      <c r="C825" s="2">
        <v>18.0</v>
      </c>
      <c r="E825" s="14" t="s">
        <v>80</v>
      </c>
      <c r="F825" s="15" t="str">
        <f>IFERROR(__xludf.DUMMYFUNCTION("GOOGLETRANSLATE(B825,""en"",""ar"")"),"سياق الكلام")</f>
        <v>سياق الكلام</v>
      </c>
    </row>
    <row r="826" ht="14.25" customHeight="1">
      <c r="A826" s="5"/>
      <c r="B826" s="2" t="s">
        <v>930</v>
      </c>
      <c r="C826" s="2">
        <v>18.0</v>
      </c>
      <c r="E826" s="14" t="s">
        <v>113</v>
      </c>
      <c r="F826" s="15" t="str">
        <f>IFERROR(__xludf.DUMMYFUNCTION("GOOGLETRANSLATE(B826,""en"",""ar"")"),"جذاب")</f>
        <v>جذاب</v>
      </c>
    </row>
    <row r="827" ht="14.25" customHeight="1">
      <c r="A827" s="5"/>
      <c r="B827" s="2" t="s">
        <v>931</v>
      </c>
      <c r="C827" s="2">
        <v>18.0</v>
      </c>
      <c r="E827" s="14" t="s">
        <v>120</v>
      </c>
      <c r="F827" s="15" t="str">
        <f>IFERROR(__xludf.DUMMYFUNCTION("GOOGLETRANSLATE(B827,""en"",""ar"")"),"تاريخ")</f>
        <v>تاريخ</v>
      </c>
    </row>
    <row r="828" ht="14.25" customHeight="1">
      <c r="A828" s="5"/>
      <c r="B828" s="2" t="s">
        <v>932</v>
      </c>
      <c r="C828" s="2">
        <v>18.0</v>
      </c>
      <c r="E828" s="14" t="s">
        <v>120</v>
      </c>
      <c r="F828" s="15" t="str">
        <f>IFERROR(__xludf.DUMMYFUNCTION("GOOGLETRANSLATE(B828,""en"",""ar"")"),"تأثير")</f>
        <v>تأثير</v>
      </c>
    </row>
    <row r="829" ht="14.25" customHeight="1">
      <c r="A829" s="5"/>
      <c r="B829" s="2" t="s">
        <v>933</v>
      </c>
      <c r="C829" s="2">
        <v>18.0</v>
      </c>
      <c r="E829" s="14" t="s">
        <v>43</v>
      </c>
      <c r="F829" s="15" t="str">
        <f>IFERROR(__xludf.DUMMYFUNCTION("GOOGLETRANSLATE(B829,""en"",""ar"")"),"الى ابعد حد")</f>
        <v>الى ابعد حد</v>
      </c>
    </row>
    <row r="830" ht="14.25" customHeight="1">
      <c r="A830" s="5"/>
      <c r="B830" s="2" t="s">
        <v>934</v>
      </c>
      <c r="C830" s="2">
        <v>18.0</v>
      </c>
      <c r="E830" s="14" t="s">
        <v>236</v>
      </c>
      <c r="F830" s="15" t="str">
        <f>IFERROR(__xludf.DUMMYFUNCTION("GOOGLETRANSLATE(B830,""en"",""ar"")"),"معروف")</f>
        <v>معروف</v>
      </c>
    </row>
    <row r="831" ht="14.25" customHeight="1">
      <c r="A831" s="5"/>
      <c r="B831" s="2" t="s">
        <v>935</v>
      </c>
      <c r="C831" s="2">
        <v>18.0</v>
      </c>
      <c r="E831" s="14" t="s">
        <v>43</v>
      </c>
      <c r="F831" s="15" t="str">
        <f>IFERROR(__xludf.DUMMYFUNCTION("GOOGLETRANSLATE(B831,""en"",""ar"")"),"أخيرا")</f>
        <v>أخيرا</v>
      </c>
    </row>
    <row r="832" ht="14.25" customHeight="1">
      <c r="A832" s="5"/>
      <c r="B832" s="2" t="s">
        <v>936</v>
      </c>
      <c r="C832" s="2">
        <v>18.0</v>
      </c>
      <c r="E832" s="14" t="s">
        <v>95</v>
      </c>
      <c r="F832" s="15" t="str">
        <f>IFERROR(__xludf.DUMMYFUNCTION("GOOGLETRANSLATE(B832,""en"",""ar"")"),"يطير")</f>
        <v>يطير</v>
      </c>
    </row>
    <row r="833" ht="14.25" customHeight="1">
      <c r="A833" s="5"/>
      <c r="B833" s="2" t="s">
        <v>937</v>
      </c>
      <c r="C833" s="2">
        <v>18.0</v>
      </c>
      <c r="E833" s="14" t="s">
        <v>13</v>
      </c>
      <c r="F833" s="15" t="str">
        <f>IFERROR(__xludf.DUMMYFUNCTION("GOOGLETRANSLATE(B833,""en"",""ar"")"),"إتبع")</f>
        <v>إتبع</v>
      </c>
    </row>
    <row r="834" ht="14.25" customHeight="1">
      <c r="A834" s="5"/>
      <c r="B834" s="2" t="s">
        <v>938</v>
      </c>
      <c r="C834" s="2">
        <v>18.0</v>
      </c>
      <c r="E834" s="14" t="s">
        <v>113</v>
      </c>
      <c r="F834" s="15" t="str">
        <f>IFERROR(__xludf.DUMMYFUNCTION("GOOGLETRANSLATE(B834,""en"",""ar"")"),"معاون، مساعد، مفيد، فاعل خير")</f>
        <v>معاون، مساعد، مفيد، فاعل خير</v>
      </c>
    </row>
    <row r="835" ht="14.25" customHeight="1">
      <c r="A835" s="5"/>
      <c r="B835" s="2" t="s">
        <v>939</v>
      </c>
      <c r="C835" s="2">
        <v>18.0</v>
      </c>
      <c r="E835" s="14" t="s">
        <v>80</v>
      </c>
      <c r="F835" s="15" t="str">
        <f>IFERROR(__xludf.DUMMYFUNCTION("GOOGLETRANSLATE(B835,""en"",""ar"")"),"المقدمة")</f>
        <v>المقدمة</v>
      </c>
    </row>
    <row r="836" ht="14.25" customHeight="1">
      <c r="A836" s="5"/>
      <c r="B836" s="2" t="s">
        <v>940</v>
      </c>
      <c r="C836" s="2">
        <v>18.0</v>
      </c>
      <c r="E836" s="14" t="s">
        <v>120</v>
      </c>
      <c r="F836" s="15" t="str">
        <f>IFERROR(__xludf.DUMMYFUNCTION("GOOGLETRANSLATE(B836,""en"",""ar"")"),"حلقة الوصل")</f>
        <v>حلقة الوصل</v>
      </c>
    </row>
    <row r="837" ht="14.25" customHeight="1">
      <c r="A837" s="5"/>
      <c r="B837" s="2" t="s">
        <v>941</v>
      </c>
      <c r="C837" s="2">
        <v>18.0</v>
      </c>
      <c r="E837" s="14" t="s">
        <v>236</v>
      </c>
      <c r="F837" s="15" t="str">
        <f>IFERROR(__xludf.DUMMYFUNCTION("GOOGLETRANSLATE(B837,""en"",""ar"")"),"الرسمية")</f>
        <v>الرسمية</v>
      </c>
    </row>
    <row r="838" ht="14.25" customHeight="1">
      <c r="A838" s="5"/>
      <c r="B838" s="2" t="s">
        <v>942</v>
      </c>
      <c r="C838" s="2">
        <v>18.0</v>
      </c>
      <c r="E838" s="14" t="s">
        <v>80</v>
      </c>
      <c r="F838" s="15" t="str">
        <f>IFERROR(__xludf.DUMMYFUNCTION("GOOGLETRANSLATE(B838,""en"",""ar"")"),"فرصة")</f>
        <v>فرصة</v>
      </c>
    </row>
    <row r="839" ht="14.25" customHeight="1">
      <c r="A839" s="5"/>
      <c r="B839" s="2" t="s">
        <v>943</v>
      </c>
      <c r="C839" s="2">
        <v>18.0</v>
      </c>
      <c r="E839" s="14" t="s">
        <v>510</v>
      </c>
      <c r="F839" s="15" t="str">
        <f>IFERROR(__xludf.DUMMYFUNCTION("GOOGLETRANSLATE(B839,""en"",""ar"")"),"في احسن الاحوال")</f>
        <v>في احسن الاحوال</v>
      </c>
    </row>
    <row r="840" ht="14.25" customHeight="1">
      <c r="A840" s="5"/>
      <c r="B840" s="2" t="s">
        <v>944</v>
      </c>
      <c r="C840" s="2">
        <v>18.0</v>
      </c>
      <c r="E840" s="14" t="s">
        <v>80</v>
      </c>
      <c r="F840" s="15" t="str">
        <f>IFERROR(__xludf.DUMMYFUNCTION("GOOGLETRANSLATE(B840,""en"",""ar"")"),"أداء")</f>
        <v>أداء</v>
      </c>
    </row>
    <row r="841" ht="14.25" customHeight="1">
      <c r="A841" s="5"/>
      <c r="B841" s="2" t="s">
        <v>945</v>
      </c>
      <c r="C841" s="2">
        <v>18.0</v>
      </c>
      <c r="E841" s="14" t="s">
        <v>240</v>
      </c>
      <c r="F841" s="15" t="str">
        <f>IFERROR(__xludf.DUMMYFUNCTION("GOOGLETRANSLATE(B841,""en"",""ar"")"),"بريد")</f>
        <v>بريد</v>
      </c>
    </row>
    <row r="842" ht="14.25" customHeight="1">
      <c r="A842" s="5"/>
      <c r="B842" s="2" t="s">
        <v>946</v>
      </c>
      <c r="C842" s="2">
        <v>18.0</v>
      </c>
      <c r="E842" s="14" t="s">
        <v>113</v>
      </c>
      <c r="F842" s="15" t="str">
        <f>IFERROR(__xludf.DUMMYFUNCTION("GOOGLETRANSLATE(B842,""en"",""ar"")"),"مؤخرًا")</f>
        <v>مؤخرًا</v>
      </c>
    </row>
    <row r="843" ht="14.25" customHeight="1">
      <c r="A843" s="5"/>
      <c r="B843" s="2" t="s">
        <v>947</v>
      </c>
      <c r="C843" s="2">
        <v>18.0</v>
      </c>
      <c r="E843" s="14" t="s">
        <v>13</v>
      </c>
      <c r="F843" s="15" t="str">
        <f>IFERROR(__xludf.DUMMYFUNCTION("GOOGLETRANSLATE(B843,""en"",""ar"")"),"أشير")</f>
        <v>أشير</v>
      </c>
    </row>
    <row r="844" ht="14.25" customHeight="1">
      <c r="A844" s="5"/>
      <c r="B844" s="2" t="s">
        <v>948</v>
      </c>
      <c r="C844" s="2">
        <v>18.0</v>
      </c>
      <c r="E844" s="14" t="s">
        <v>13</v>
      </c>
      <c r="F844" s="15" t="str">
        <f>IFERROR(__xludf.DUMMYFUNCTION("GOOGLETRANSLATE(B844,""en"",""ar"")"),"يحل")</f>
        <v>يحل</v>
      </c>
    </row>
    <row r="845" ht="14.25" customHeight="1">
      <c r="A845" s="5"/>
      <c r="B845" s="2" t="s">
        <v>949</v>
      </c>
      <c r="C845" s="2">
        <v>18.0</v>
      </c>
      <c r="E845" s="14" t="s">
        <v>120</v>
      </c>
      <c r="F845" s="15" t="str">
        <f>IFERROR(__xludf.DUMMYFUNCTION("GOOGLETRANSLATE(B845,""en"",""ar"")"),"نجمة")</f>
        <v>نجمة</v>
      </c>
    </row>
    <row r="846" ht="14.25" customHeight="1">
      <c r="A846" s="5"/>
      <c r="B846" s="2" t="s">
        <v>950</v>
      </c>
      <c r="C846" s="2">
        <v>18.0</v>
      </c>
      <c r="E846" s="14" t="s">
        <v>120</v>
      </c>
      <c r="F846" s="15" t="str">
        <f>IFERROR(__xludf.DUMMYFUNCTION("GOOGLETRANSLATE(B846,""en"",""ar"")"),"صوت بشري")</f>
        <v>صوت بشري</v>
      </c>
    </row>
    <row r="847" ht="14.25" customHeight="1">
      <c r="A847" s="5"/>
      <c r="B847" s="2" t="s">
        <v>951</v>
      </c>
      <c r="C847" s="2">
        <v>18.0</v>
      </c>
      <c r="E847" s="14" t="s">
        <v>113</v>
      </c>
      <c r="F847" s="15" t="str">
        <f>IFERROR(__xludf.DUMMYFUNCTION("GOOGLETRANSLATE(B847,""en"",""ar"")"),"مستعد")</f>
        <v>مستعد</v>
      </c>
    </row>
    <row r="848" ht="14.25" customHeight="1">
      <c r="A848" s="5"/>
      <c r="B848" s="2" t="s">
        <v>952</v>
      </c>
      <c r="C848" s="2">
        <v>17.0</v>
      </c>
      <c r="E848" s="14" t="s">
        <v>953</v>
      </c>
      <c r="F848" s="15" t="str">
        <f>IFERROR(__xludf.DUMMYFUNCTION("GOOGLETRANSLATE(B848,""en"",""ar"")"),"وُلِدّ")</f>
        <v>وُلِدّ</v>
      </c>
    </row>
    <row r="849" ht="14.25" customHeight="1">
      <c r="A849" s="5"/>
      <c r="B849" s="2" t="s">
        <v>954</v>
      </c>
      <c r="C849" s="2">
        <v>17.0</v>
      </c>
      <c r="E849" s="14" t="s">
        <v>337</v>
      </c>
      <c r="F849" s="15" t="str">
        <f>IFERROR(__xludf.DUMMYFUNCTION("GOOGLETRANSLATE(B849,""en"",""ar"")"),"مشرق")</f>
        <v>مشرق</v>
      </c>
    </row>
    <row r="850" ht="14.25" customHeight="1">
      <c r="A850" s="5"/>
      <c r="B850" s="2" t="s">
        <v>955</v>
      </c>
      <c r="C850" s="2">
        <v>17.0</v>
      </c>
      <c r="E850" s="14" t="s">
        <v>236</v>
      </c>
      <c r="F850" s="15" t="str">
        <f>IFERROR(__xludf.DUMMYFUNCTION("GOOGLETRANSLATE(B850,""en"",""ar"")"),"واسع")</f>
        <v>واسع</v>
      </c>
    </row>
    <row r="851" ht="14.25" customHeight="1">
      <c r="A851" s="5"/>
      <c r="B851" s="2" t="s">
        <v>956</v>
      </c>
      <c r="C851" s="2">
        <v>17.0</v>
      </c>
      <c r="E851" s="14" t="s">
        <v>149</v>
      </c>
      <c r="F851" s="15" t="str">
        <f>IFERROR(__xludf.DUMMYFUNCTION("GOOGLETRANSLATE(B851,""en"",""ar"")"),"رأس المال")</f>
        <v>رأس المال</v>
      </c>
    </row>
    <row r="852" ht="14.25" customHeight="1">
      <c r="A852" s="5"/>
      <c r="B852" s="2" t="s">
        <v>957</v>
      </c>
      <c r="C852" s="2">
        <v>17.0</v>
      </c>
      <c r="E852" s="14" t="s">
        <v>129</v>
      </c>
      <c r="F852" s="15" t="str">
        <f>IFERROR(__xludf.DUMMYFUNCTION("GOOGLETRANSLATE(B852,""en"",""ar"")"),"تحدي")</f>
        <v>تحدي</v>
      </c>
    </row>
    <row r="853" ht="14.25" customHeight="1">
      <c r="A853" s="5"/>
      <c r="B853" s="2" t="s">
        <v>958</v>
      </c>
      <c r="C853" s="2">
        <v>17.0</v>
      </c>
      <c r="E853" s="14" t="s">
        <v>236</v>
      </c>
      <c r="F853" s="15" t="str">
        <f>IFERROR(__xludf.DUMMYFUNCTION("GOOGLETRANSLATE(B853,""en"",""ar"")"),"مريح")</f>
        <v>مريح</v>
      </c>
    </row>
    <row r="854" ht="14.25" customHeight="1">
      <c r="A854" s="5"/>
      <c r="B854" s="2" t="s">
        <v>959</v>
      </c>
      <c r="C854" s="2">
        <v>17.0</v>
      </c>
      <c r="E854" s="14" t="s">
        <v>43</v>
      </c>
      <c r="F854" s="15" t="str">
        <f>IFERROR(__xludf.DUMMYFUNCTION("GOOGLETRANSLATE(B854,""en"",""ar"")"),"باستمرار")</f>
        <v>باستمرار</v>
      </c>
    </row>
    <row r="855" ht="14.25" customHeight="1">
      <c r="A855" s="5"/>
      <c r="B855" s="2" t="s">
        <v>960</v>
      </c>
      <c r="C855" s="2">
        <v>17.0</v>
      </c>
      <c r="E855" s="14" t="s">
        <v>13</v>
      </c>
      <c r="F855" s="15" t="str">
        <f>IFERROR(__xludf.DUMMYFUNCTION("GOOGLETRANSLATE(B855,""en"",""ar"")"),"يصف")</f>
        <v>يصف</v>
      </c>
    </row>
    <row r="856" ht="14.25" customHeight="1">
      <c r="A856" s="5"/>
      <c r="B856" s="2" t="s">
        <v>961</v>
      </c>
      <c r="C856" s="2">
        <v>17.0</v>
      </c>
      <c r="E856" s="14" t="s">
        <v>33</v>
      </c>
      <c r="F856" s="15" t="str">
        <f>IFERROR(__xludf.DUMMYFUNCTION("GOOGLETRANSLATE(B856,""en"",""ar"")"),"بالرغم من")</f>
        <v>بالرغم من</v>
      </c>
    </row>
    <row r="857" ht="14.25" customHeight="1">
      <c r="A857" s="5"/>
      <c r="B857" s="2" t="s">
        <v>962</v>
      </c>
      <c r="C857" s="2">
        <v>17.0</v>
      </c>
      <c r="E857" s="14" t="s">
        <v>80</v>
      </c>
      <c r="F857" s="15" t="str">
        <f>IFERROR(__xludf.DUMMYFUNCTION("GOOGLETRANSLATE(B857,""en"",""ar"")"),"سائق")</f>
        <v>سائق</v>
      </c>
    </row>
    <row r="858" ht="14.25" customHeight="1">
      <c r="A858" s="5"/>
      <c r="B858" s="2" t="s">
        <v>963</v>
      </c>
      <c r="C858" s="2">
        <v>17.0</v>
      </c>
      <c r="E858" s="14" t="s">
        <v>206</v>
      </c>
      <c r="F858" s="15" t="str">
        <f>IFERROR(__xludf.DUMMYFUNCTION("GOOGLETRANSLATE(B858,""en"",""ar"")"),"مسطحة")</f>
        <v>مسطحة</v>
      </c>
    </row>
    <row r="859" ht="14.25" customHeight="1">
      <c r="A859" s="5"/>
      <c r="B859" s="2" t="s">
        <v>964</v>
      </c>
      <c r="C859" s="2">
        <v>17.0</v>
      </c>
      <c r="E859" s="14" t="s">
        <v>80</v>
      </c>
      <c r="F859" s="15" t="str">
        <f>IFERROR(__xludf.DUMMYFUNCTION("GOOGLETRANSLATE(B859,""en"",""ar"")"),"طيران")</f>
        <v>طيران</v>
      </c>
    </row>
    <row r="860" ht="14.25" customHeight="1">
      <c r="A860" s="5"/>
      <c r="B860" s="2" t="s">
        <v>965</v>
      </c>
      <c r="C860" s="2">
        <v>17.0</v>
      </c>
      <c r="E860" s="14" t="s">
        <v>120</v>
      </c>
      <c r="F860" s="15" t="str">
        <f>IFERROR(__xludf.DUMMYFUNCTION("GOOGLETRANSLATE(B860,""en"",""ar"")"),"صديق")</f>
        <v>صديق</v>
      </c>
    </row>
    <row r="861" ht="14.25" customHeight="1">
      <c r="A861" s="5"/>
      <c r="B861" s="2" t="s">
        <v>966</v>
      </c>
      <c r="C861" s="2">
        <v>17.0</v>
      </c>
      <c r="E861" s="14" t="s">
        <v>95</v>
      </c>
      <c r="F861" s="15" t="str">
        <f>IFERROR(__xludf.DUMMYFUNCTION("GOOGLETRANSLATE(B861,""en"",""ar"")"),"يكسب")</f>
        <v>يكسب</v>
      </c>
    </row>
    <row r="862" ht="14.25" customHeight="1">
      <c r="A862" s="5"/>
      <c r="B862" s="2" t="s">
        <v>967</v>
      </c>
      <c r="C862" s="2">
        <v>17.0</v>
      </c>
      <c r="E862" s="14" t="s">
        <v>31</v>
      </c>
      <c r="F862" s="15" t="str">
        <f>IFERROR(__xludf.DUMMYFUNCTION("GOOGLETRANSLATE(B862,""en"",""ar"")"),"له")</f>
        <v>له</v>
      </c>
    </row>
    <row r="863" ht="14.25" customHeight="1">
      <c r="A863" s="5"/>
      <c r="B863" s="2" t="s">
        <v>968</v>
      </c>
      <c r="C863" s="2">
        <v>17.0</v>
      </c>
      <c r="E863" s="14" t="s">
        <v>80</v>
      </c>
      <c r="F863" s="15" t="str">
        <f>IFERROR(__xludf.DUMMYFUNCTION("GOOGLETRANSLATE(B863,""en"",""ar"")"),"الطول")</f>
        <v>الطول</v>
      </c>
    </row>
    <row r="864" ht="14.25" customHeight="1">
      <c r="A864" s="5"/>
      <c r="B864" s="2" t="s">
        <v>969</v>
      </c>
      <c r="C864" s="2">
        <v>17.0</v>
      </c>
      <c r="E864" s="14" t="s">
        <v>80</v>
      </c>
      <c r="F864" s="15" t="str">
        <f>IFERROR(__xludf.DUMMYFUNCTION("GOOGLETRANSLATE(B864,""en"",""ar"")"),"مجلة")</f>
        <v>مجلة</v>
      </c>
    </row>
    <row r="865" ht="14.25" customHeight="1">
      <c r="A865" s="5"/>
      <c r="B865" s="2" t="s">
        <v>970</v>
      </c>
      <c r="C865" s="2">
        <v>17.0</v>
      </c>
      <c r="E865" s="14" t="s">
        <v>315</v>
      </c>
      <c r="F865" s="15" t="str">
        <f>IFERROR(__xludf.DUMMYFUNCTION("GOOGLETRANSLATE(B865,""en"",""ar"")"),"يمكن")</f>
        <v>يمكن</v>
      </c>
    </row>
    <row r="866" ht="14.25" customHeight="1">
      <c r="A866" s="5"/>
      <c r="B866" s="2" t="s">
        <v>971</v>
      </c>
      <c r="C866" s="2">
        <v>17.0</v>
      </c>
      <c r="E866" s="14" t="s">
        <v>80</v>
      </c>
      <c r="F866" s="15" t="str">
        <f>IFERROR(__xludf.DUMMYFUNCTION("GOOGLETRANSLATE(B866,""en"",""ar"")"),"جريدة")</f>
        <v>جريدة</v>
      </c>
    </row>
    <row r="867" ht="14.25" customHeight="1">
      <c r="A867" s="5"/>
      <c r="B867" s="2" t="s">
        <v>972</v>
      </c>
      <c r="C867" s="2">
        <v>17.0</v>
      </c>
      <c r="E867" s="14" t="s">
        <v>113</v>
      </c>
      <c r="F867" s="15" t="str">
        <f>IFERROR(__xludf.DUMMYFUNCTION("GOOGLETRANSLATE(B867,""en"",""ar"")"),"لطيف")</f>
        <v>لطيف</v>
      </c>
    </row>
    <row r="868" ht="14.25" customHeight="1">
      <c r="A868" s="5"/>
      <c r="B868" s="2" t="s">
        <v>973</v>
      </c>
      <c r="C868" s="2">
        <v>17.0</v>
      </c>
      <c r="E868" s="14" t="s">
        <v>13</v>
      </c>
      <c r="F868" s="15" t="str">
        <f>IFERROR(__xludf.DUMMYFUNCTION("GOOGLETRANSLATE(B868,""en"",""ar"")"),"تفضل")</f>
        <v>تفضل</v>
      </c>
    </row>
    <row r="869" ht="14.25" customHeight="1">
      <c r="A869" s="5"/>
      <c r="B869" s="2" t="s">
        <v>974</v>
      </c>
      <c r="C869" s="2">
        <v>17.0</v>
      </c>
      <c r="E869" s="14" t="s">
        <v>13</v>
      </c>
      <c r="F869" s="15" t="str">
        <f>IFERROR(__xludf.DUMMYFUNCTION("GOOGLETRANSLATE(B869,""en"",""ar"")"),"يحول دون")</f>
        <v>يحول دون</v>
      </c>
    </row>
    <row r="870" ht="14.25" customHeight="1">
      <c r="A870" s="5"/>
      <c r="B870" s="2" t="s">
        <v>975</v>
      </c>
      <c r="C870" s="2">
        <v>17.0</v>
      </c>
      <c r="E870" s="14" t="s">
        <v>43</v>
      </c>
      <c r="F870" s="15" t="str">
        <f>IFERROR(__xludf.DUMMYFUNCTION("GOOGLETRANSLATE(B870,""en"",""ar"")"),"بصورة صحيحة")</f>
        <v>بصورة صحيحة</v>
      </c>
    </row>
    <row r="871" ht="14.25" customHeight="1">
      <c r="A871" s="5"/>
      <c r="B871" s="2" t="s">
        <v>976</v>
      </c>
      <c r="C871" s="2">
        <v>17.0</v>
      </c>
      <c r="E871" s="14" t="s">
        <v>80</v>
      </c>
      <c r="F871" s="15" t="str">
        <f>IFERROR(__xludf.DUMMYFUNCTION("GOOGLETRANSLATE(B871,""en"",""ar"")"),"صلة")</f>
        <v>صلة</v>
      </c>
    </row>
    <row r="872" ht="14.25" customHeight="1">
      <c r="A872" s="5"/>
      <c r="B872" s="2" t="s">
        <v>977</v>
      </c>
      <c r="C872" s="2">
        <v>17.0</v>
      </c>
      <c r="E872" s="14" t="s">
        <v>236</v>
      </c>
      <c r="F872" s="15" t="str">
        <f>IFERROR(__xludf.DUMMYFUNCTION("GOOGLETRANSLATE(B872,""en"",""ar"")"),"ثري")</f>
        <v>ثري</v>
      </c>
    </row>
    <row r="873" ht="14.25" customHeight="1">
      <c r="A873" s="5"/>
      <c r="B873" s="2" t="s">
        <v>978</v>
      </c>
      <c r="C873" s="2">
        <v>17.0</v>
      </c>
      <c r="E873" s="14" t="s">
        <v>979</v>
      </c>
      <c r="F873" s="15" t="str">
        <f>IFERROR(__xludf.DUMMYFUNCTION("GOOGLETRANSLATE(B873,""en"",""ar"")"),"حفظ")</f>
        <v>حفظ</v>
      </c>
    </row>
    <row r="874" ht="14.25" customHeight="1">
      <c r="A874" s="5"/>
      <c r="B874" s="2" t="s">
        <v>980</v>
      </c>
      <c r="C874" s="2">
        <v>17.0</v>
      </c>
      <c r="E874" s="14" t="s">
        <v>981</v>
      </c>
      <c r="F874" s="15" t="str">
        <f>IFERROR(__xludf.DUMMYFUNCTION("GOOGLETRANSLATE(B874,""en"",""ar"")"),"الذات")</f>
        <v>الذات</v>
      </c>
    </row>
    <row r="875" ht="14.25" customHeight="1">
      <c r="A875" s="5"/>
      <c r="B875" s="2" t="s">
        <v>982</v>
      </c>
      <c r="C875" s="2">
        <v>17.0</v>
      </c>
      <c r="E875" s="14" t="s">
        <v>149</v>
      </c>
      <c r="F875" s="15" t="str">
        <f>IFERROR(__xludf.DUMMYFUNCTION("GOOGLETRANSLATE(B875,""en"",""ar"")"),"طلقة")</f>
        <v>طلقة</v>
      </c>
    </row>
    <row r="876" ht="14.25" customHeight="1">
      <c r="A876" s="5"/>
      <c r="B876" s="2" t="s">
        <v>983</v>
      </c>
      <c r="C876" s="2">
        <v>17.0</v>
      </c>
      <c r="E876" s="14" t="s">
        <v>43</v>
      </c>
      <c r="F876" s="15" t="str">
        <f>IFERROR(__xludf.DUMMYFUNCTION("GOOGLETRANSLATE(B876,""en"",""ar"")"),"هكذا")</f>
        <v>هكذا</v>
      </c>
    </row>
    <row r="877" ht="14.25" customHeight="1">
      <c r="A877" s="5"/>
      <c r="B877" s="2" t="s">
        <v>984</v>
      </c>
      <c r="C877" s="2">
        <v>17.0</v>
      </c>
      <c r="E877" s="14" t="s">
        <v>43</v>
      </c>
      <c r="F877" s="15" t="str">
        <f>IFERROR(__xludf.DUMMYFUNCTION("GOOGLETRANSLATE(B877,""en"",""ar"")"),"خاصة")</f>
        <v>خاصة</v>
      </c>
    </row>
    <row r="878" ht="14.25" customHeight="1">
      <c r="A878" s="5"/>
      <c r="B878" s="2" t="s">
        <v>985</v>
      </c>
      <c r="C878" s="2">
        <v>17.0</v>
      </c>
      <c r="E878" s="14" t="s">
        <v>95</v>
      </c>
      <c r="F878" s="15" t="str">
        <f>IFERROR(__xludf.DUMMYFUNCTION("GOOGLETRANSLATE(B878,""en"",""ar"")"),"انتصاب")</f>
        <v>انتصاب</v>
      </c>
    </row>
    <row r="879" ht="14.25" customHeight="1">
      <c r="A879" s="5"/>
      <c r="B879" s="2" t="s">
        <v>986</v>
      </c>
      <c r="C879" s="2">
        <v>17.0</v>
      </c>
      <c r="E879" s="14" t="s">
        <v>80</v>
      </c>
      <c r="F879" s="15" t="str">
        <f>IFERROR(__xludf.DUMMYFUNCTION("GOOGLETRANSLATE(B879,""en"",""ar"")"),"تعليم")</f>
        <v>تعليم</v>
      </c>
    </row>
    <row r="880" ht="14.25" customHeight="1">
      <c r="A880" s="5"/>
      <c r="B880" s="2" t="s">
        <v>987</v>
      </c>
      <c r="C880" s="2">
        <v>17.0</v>
      </c>
      <c r="E880" s="14" t="s">
        <v>180</v>
      </c>
      <c r="F880" s="15" t="str">
        <f>IFERROR(__xludf.DUMMYFUNCTION("GOOGLETRANSLATE(B880,""en"",""ar"")"),"دافيء")</f>
        <v>دافيء</v>
      </c>
    </row>
    <row r="881" ht="14.25" customHeight="1">
      <c r="A881" s="5"/>
      <c r="B881" s="2" t="s">
        <v>988</v>
      </c>
      <c r="C881" s="2">
        <v>17.0</v>
      </c>
      <c r="E881" s="14" t="s">
        <v>113</v>
      </c>
      <c r="F881" s="15" t="str">
        <f>IFERROR(__xludf.DUMMYFUNCTION("GOOGLETRANSLATE(B881,""en"",""ar"")"),"رائع")</f>
        <v>رائع</v>
      </c>
    </row>
    <row r="882" ht="14.25" customHeight="1">
      <c r="A882" s="5"/>
      <c r="B882" s="2" t="s">
        <v>989</v>
      </c>
      <c r="C882" s="2">
        <v>17.0</v>
      </c>
      <c r="E882" s="14" t="s">
        <v>236</v>
      </c>
      <c r="F882" s="15" t="str">
        <f>IFERROR(__xludf.DUMMYFUNCTION("GOOGLETRANSLATE(B882,""en"",""ar"")"),"صغيرة")</f>
        <v>صغيرة</v>
      </c>
    </row>
    <row r="883" ht="14.25" customHeight="1">
      <c r="A883" s="5"/>
      <c r="B883" s="2" t="s">
        <v>990</v>
      </c>
      <c r="C883" s="2">
        <v>16.0</v>
      </c>
      <c r="E883" s="14" t="s">
        <v>43</v>
      </c>
      <c r="F883" s="15" t="str">
        <f>IFERROR(__xludf.DUMMYFUNCTION("GOOGLETRANSLATE(B883,""en"",""ar"")"),"امام")</f>
        <v>امام</v>
      </c>
    </row>
    <row r="884" ht="14.25" customHeight="1">
      <c r="A884" s="5"/>
      <c r="B884" s="2" t="s">
        <v>991</v>
      </c>
      <c r="C884" s="2">
        <v>16.0</v>
      </c>
      <c r="E884" s="14" t="s">
        <v>120</v>
      </c>
      <c r="F884" s="15" t="str">
        <f>IFERROR(__xludf.DUMMYFUNCTION("GOOGLETRANSLATE(B884,""en"",""ar"")"),"فرشاة")</f>
        <v>فرشاة</v>
      </c>
    </row>
    <row r="885" ht="14.25" customHeight="1">
      <c r="A885" s="5"/>
      <c r="B885" s="2" t="s">
        <v>992</v>
      </c>
      <c r="C885" s="2">
        <v>16.0</v>
      </c>
      <c r="E885" s="14" t="s">
        <v>80</v>
      </c>
      <c r="F885" s="15" t="str">
        <f>IFERROR(__xludf.DUMMYFUNCTION("GOOGLETRANSLATE(B885,""en"",""ar"")"),"زنزانة")</f>
        <v>زنزانة</v>
      </c>
    </row>
    <row r="886" ht="14.25" customHeight="1">
      <c r="A886" s="5"/>
      <c r="B886" s="2" t="s">
        <v>993</v>
      </c>
      <c r="C886" s="2">
        <v>16.0</v>
      </c>
      <c r="E886" s="14" t="s">
        <v>120</v>
      </c>
      <c r="F886" s="15" t="str">
        <f>IFERROR(__xludf.DUMMYFUNCTION("GOOGLETRANSLATE(B886,""en"",""ar"")"),"زوج")</f>
        <v>زوج</v>
      </c>
    </row>
    <row r="887" ht="14.25" customHeight="1">
      <c r="A887" s="5"/>
      <c r="B887" s="2" t="s">
        <v>994</v>
      </c>
      <c r="C887" s="2">
        <v>16.0</v>
      </c>
      <c r="E887" s="14" t="s">
        <v>43</v>
      </c>
      <c r="F887" s="15" t="str">
        <f>IFERROR(__xludf.DUMMYFUNCTION("GOOGLETRANSLATE(B887,""en"",""ar"")"),"اليومي")</f>
        <v>اليومي</v>
      </c>
    </row>
    <row r="888" ht="14.25" customHeight="1">
      <c r="A888" s="5"/>
      <c r="B888" s="2" t="s">
        <v>995</v>
      </c>
      <c r="C888" s="2">
        <v>16.0</v>
      </c>
      <c r="E888" s="14" t="s">
        <v>80</v>
      </c>
      <c r="F888" s="15" t="str">
        <f>IFERROR(__xludf.DUMMYFUNCTION("GOOGLETRANSLATE(B888,""en"",""ar"")"),"تاجر")</f>
        <v>تاجر</v>
      </c>
    </row>
    <row r="889" ht="14.25" customHeight="1">
      <c r="A889" s="5"/>
      <c r="B889" s="2" t="s">
        <v>996</v>
      </c>
      <c r="C889" s="2">
        <v>16.0</v>
      </c>
      <c r="E889" s="14" t="s">
        <v>120</v>
      </c>
      <c r="F889" s="15" t="str">
        <f>IFERROR(__xludf.DUMMYFUNCTION("GOOGLETRANSLATE(B889,""en"",""ar"")"),"النقاش")</f>
        <v>النقاش</v>
      </c>
    </row>
    <row r="890" ht="14.25" customHeight="1">
      <c r="A890" s="5"/>
      <c r="B890" s="2" t="s">
        <v>997</v>
      </c>
      <c r="C890" s="2">
        <v>16.0</v>
      </c>
      <c r="E890" s="14" t="s">
        <v>13</v>
      </c>
      <c r="F890" s="15" t="str">
        <f>IFERROR(__xludf.DUMMYFUNCTION("GOOGLETRANSLATE(B890,""en"",""ar"")"),"يكتشف")</f>
        <v>يكتشف</v>
      </c>
    </row>
    <row r="891" ht="14.25" customHeight="1">
      <c r="A891" s="5"/>
      <c r="B891" s="2" t="s">
        <v>998</v>
      </c>
      <c r="C891" s="2">
        <v>16.0</v>
      </c>
      <c r="E891" s="14" t="s">
        <v>13</v>
      </c>
      <c r="F891" s="15" t="str">
        <f>IFERROR(__xludf.DUMMYFUNCTION("GOOGLETRANSLATE(B891,""en"",""ar"")"),"يضمن")</f>
        <v>يضمن</v>
      </c>
    </row>
    <row r="892" ht="14.25" customHeight="1">
      <c r="A892" s="5"/>
      <c r="B892" s="2" t="s">
        <v>999</v>
      </c>
      <c r="C892" s="2">
        <v>16.0</v>
      </c>
      <c r="E892" s="14" t="s">
        <v>120</v>
      </c>
      <c r="F892" s="15" t="str">
        <f>IFERROR(__xludf.DUMMYFUNCTION("GOOGLETRANSLATE(B892,""en"",""ar"")"),"خروج")</f>
        <v>خروج</v>
      </c>
    </row>
    <row r="893" ht="14.25" customHeight="1">
      <c r="A893" s="5"/>
      <c r="B893" s="2" t="s">
        <v>1000</v>
      </c>
      <c r="C893" s="2">
        <v>16.0</v>
      </c>
      <c r="E893" s="14" t="s">
        <v>13</v>
      </c>
      <c r="F893" s="15" t="str">
        <f>IFERROR(__xludf.DUMMYFUNCTION("GOOGLETRANSLATE(B893,""en"",""ar"")"),"توقع")</f>
        <v>توقع</v>
      </c>
    </row>
    <row r="894" ht="14.25" customHeight="1">
      <c r="A894" s="5"/>
      <c r="B894" s="2" t="s">
        <v>1001</v>
      </c>
      <c r="C894" s="2">
        <v>16.0</v>
      </c>
      <c r="E894" s="14" t="s">
        <v>88</v>
      </c>
      <c r="F894" s="15" t="str">
        <f>IFERROR(__xludf.DUMMYFUNCTION("GOOGLETRANSLATE(B894,""en"",""ar"")"),"يختبر")</f>
        <v>يختبر</v>
      </c>
    </row>
    <row r="895" ht="14.25" customHeight="1">
      <c r="A895" s="5"/>
      <c r="B895" s="2" t="s">
        <v>1002</v>
      </c>
      <c r="C895" s="2">
        <v>16.0</v>
      </c>
      <c r="E895" s="14" t="s">
        <v>95</v>
      </c>
      <c r="F895" s="15" t="str">
        <f>IFERROR(__xludf.DUMMYFUNCTION("GOOGLETRANSLATE(B895,""en"",""ar"")"),"يفشل")</f>
        <v>يفشل</v>
      </c>
    </row>
    <row r="896" ht="14.25" customHeight="1">
      <c r="A896" s="5"/>
      <c r="B896" s="2" t="s">
        <v>1003</v>
      </c>
      <c r="C896" s="2">
        <v>16.0</v>
      </c>
      <c r="E896" s="14" t="s">
        <v>80</v>
      </c>
      <c r="F896" s="15" t="str">
        <f>IFERROR(__xludf.DUMMYFUNCTION("GOOGLETRANSLATE(B896,""en"",""ar"")"),"العثور على")</f>
        <v>العثور على</v>
      </c>
    </row>
    <row r="897" ht="14.25" customHeight="1">
      <c r="A897" s="5"/>
      <c r="B897" s="2" t="s">
        <v>1004</v>
      </c>
      <c r="C897" s="2">
        <v>16.0</v>
      </c>
      <c r="E897" s="14" t="s">
        <v>1005</v>
      </c>
      <c r="F897" s="15" t="str">
        <f>IFERROR(__xludf.DUMMYFUNCTION("GOOGLETRANSLATE(B897,""en"",""ar"")"),"أمامي")</f>
        <v>أمامي</v>
      </c>
    </row>
    <row r="898" ht="14.25" customHeight="1">
      <c r="A898" s="5"/>
      <c r="B898" s="2" t="s">
        <v>1006</v>
      </c>
      <c r="C898" s="2">
        <v>16.0</v>
      </c>
      <c r="E898" s="14" t="s">
        <v>120</v>
      </c>
      <c r="F898" s="15" t="str">
        <f>IFERROR(__xludf.DUMMYFUNCTION("GOOGLETRANSLATE(B898,""en"",""ar"")"),"وظيفة")</f>
        <v>وظيفة</v>
      </c>
    </row>
    <row r="899" ht="14.25" customHeight="1">
      <c r="A899" s="5"/>
      <c r="B899" s="2" t="s">
        <v>1007</v>
      </c>
      <c r="C899" s="2">
        <v>16.0</v>
      </c>
      <c r="E899" s="14" t="s">
        <v>78</v>
      </c>
      <c r="F899" s="15" t="str">
        <f>IFERROR(__xludf.DUMMYFUNCTION("GOOGLETRANSLATE(B899,""en"",""ar"")"),"ثقيل")</f>
        <v>ثقيل</v>
      </c>
    </row>
    <row r="900" ht="14.25" customHeight="1">
      <c r="A900" s="5"/>
      <c r="B900" s="2" t="s">
        <v>1008</v>
      </c>
      <c r="C900" s="2">
        <v>16.0</v>
      </c>
      <c r="E900" s="14" t="s">
        <v>1009</v>
      </c>
      <c r="F900" s="15" t="str">
        <f>IFERROR(__xludf.DUMMYFUNCTION("GOOGLETRANSLATE(B900,""en"",""ar"")"),"أهلا")</f>
        <v>أهلا</v>
      </c>
    </row>
    <row r="901" ht="14.25" customHeight="1">
      <c r="A901" s="5"/>
      <c r="B901" s="2" t="s">
        <v>1010</v>
      </c>
      <c r="C901" s="2">
        <v>16.0</v>
      </c>
      <c r="E901" s="14" t="s">
        <v>43</v>
      </c>
      <c r="F901" s="15" t="str">
        <f>IFERROR(__xludf.DUMMYFUNCTION("GOOGLETRANSLATE(B901,""en"",""ar"")"),"بشدة")</f>
        <v>بشدة</v>
      </c>
    </row>
    <row r="902" ht="14.25" customHeight="1">
      <c r="A902" s="5"/>
      <c r="B902" s="2" t="s">
        <v>1011</v>
      </c>
      <c r="C902" s="2">
        <v>16.0</v>
      </c>
      <c r="E902" s="14" t="s">
        <v>43</v>
      </c>
      <c r="F902" s="15" t="str">
        <f>IFERROR(__xludf.DUMMYFUNCTION("GOOGLETRANSLATE(B902,""en"",""ar"")"),"في الحال")</f>
        <v>في الحال</v>
      </c>
    </row>
    <row r="903" ht="14.25" customHeight="1">
      <c r="A903" s="5"/>
      <c r="B903" s="2" t="s">
        <v>1012</v>
      </c>
      <c r="C903" s="2">
        <v>16.0</v>
      </c>
      <c r="E903" s="14" t="s">
        <v>113</v>
      </c>
      <c r="F903" s="15" t="str">
        <f>IFERROR(__xludf.DUMMYFUNCTION("GOOGLETRANSLATE(B903,""en"",""ar"")"),"غير ممكن")</f>
        <v>غير ممكن</v>
      </c>
    </row>
    <row r="904" ht="14.25" customHeight="1">
      <c r="A904" s="5"/>
      <c r="B904" s="2" t="s">
        <v>1013</v>
      </c>
      <c r="C904" s="2">
        <v>16.0</v>
      </c>
      <c r="E904" s="14" t="s">
        <v>13</v>
      </c>
      <c r="F904" s="15" t="str">
        <f>IFERROR(__xludf.DUMMYFUNCTION("GOOGLETRANSLATE(B904,""en"",""ar"")"),"يستثمر")</f>
        <v>يستثمر</v>
      </c>
    </row>
    <row r="905" ht="14.25" customHeight="1">
      <c r="A905" s="5"/>
      <c r="B905" s="2" t="s">
        <v>1014</v>
      </c>
      <c r="C905" s="2">
        <v>16.0</v>
      </c>
      <c r="E905" s="14" t="s">
        <v>120</v>
      </c>
      <c r="F905" s="15" t="str">
        <f>IFERROR(__xludf.DUMMYFUNCTION("GOOGLETRANSLATE(B905,""en"",""ar"")"),"قلة")</f>
        <v>قلة</v>
      </c>
    </row>
    <row r="906" ht="14.25" customHeight="1">
      <c r="A906" s="5"/>
      <c r="B906" s="2" t="s">
        <v>1015</v>
      </c>
      <c r="C906" s="2">
        <v>16.0</v>
      </c>
      <c r="E906" s="14" t="s">
        <v>80</v>
      </c>
      <c r="F906" s="15" t="str">
        <f>IFERROR(__xludf.DUMMYFUNCTION("GOOGLETRANSLATE(B906,""en"",""ar"")"),"بحيرة")</f>
        <v>بحيرة</v>
      </c>
    </row>
    <row r="907" ht="14.25" customHeight="1">
      <c r="A907" s="5"/>
      <c r="B907" s="2" t="s">
        <v>1016</v>
      </c>
      <c r="C907" s="2">
        <v>16.0</v>
      </c>
      <c r="E907" s="14" t="s">
        <v>95</v>
      </c>
      <c r="F907" s="15" t="str">
        <f>IFERROR(__xludf.DUMMYFUNCTION("GOOGLETRANSLATE(B907,""en"",""ar"")"),"قيادة")</f>
        <v>قيادة</v>
      </c>
    </row>
    <row r="908" ht="14.25" customHeight="1">
      <c r="A908" s="5"/>
      <c r="B908" s="2" t="s">
        <v>1017</v>
      </c>
      <c r="C908" s="2">
        <v>16.0</v>
      </c>
      <c r="E908" s="14" t="s">
        <v>95</v>
      </c>
      <c r="F908" s="15" t="str">
        <f>IFERROR(__xludf.DUMMYFUNCTION("GOOGLETRANSLATE(B908,""en"",""ar"")"),"استمع")</f>
        <v>استمع</v>
      </c>
    </row>
    <row r="909" ht="14.25" customHeight="1">
      <c r="A909" s="5"/>
      <c r="B909" s="2" t="s">
        <v>1018</v>
      </c>
      <c r="C909" s="2">
        <v>16.0</v>
      </c>
      <c r="E909" s="14" t="s">
        <v>149</v>
      </c>
      <c r="F909" s="15" t="str">
        <f>IFERROR(__xludf.DUMMYFUNCTION("GOOGLETRANSLATE(B909,""en"",""ar"")"),"معيشة")</f>
        <v>معيشة</v>
      </c>
    </row>
    <row r="910" ht="14.25" customHeight="1">
      <c r="A910" s="5"/>
      <c r="B910" s="2" t="s">
        <v>1019</v>
      </c>
      <c r="C910" s="2">
        <v>16.0</v>
      </c>
      <c r="E910" s="14" t="s">
        <v>80</v>
      </c>
      <c r="F910" s="15" t="str">
        <f>IFERROR(__xludf.DUMMYFUNCTION("GOOGLETRANSLATE(B910,""en"",""ar"")"),"عضو")</f>
        <v>عضو</v>
      </c>
    </row>
    <row r="911" ht="14.25" customHeight="1">
      <c r="A911" s="5"/>
      <c r="B911" s="2" t="s">
        <v>1020</v>
      </c>
      <c r="C911" s="2">
        <v>16.0</v>
      </c>
      <c r="E911" s="14" t="s">
        <v>80</v>
      </c>
      <c r="F911" s="15" t="str">
        <f>IFERROR(__xludf.DUMMYFUNCTION("GOOGLETRANSLATE(B911,""en"",""ar"")"),"رسالة")</f>
        <v>رسالة</v>
      </c>
    </row>
    <row r="912" ht="14.25" customHeight="1">
      <c r="A912" s="5"/>
      <c r="B912" s="2" t="s">
        <v>1021</v>
      </c>
      <c r="C912" s="2">
        <v>16.0</v>
      </c>
      <c r="E912" s="14" t="s">
        <v>80</v>
      </c>
      <c r="F912" s="15" t="str">
        <f>IFERROR(__xludf.DUMMYFUNCTION("GOOGLETRANSLATE(B912,""en"",""ar"")"),"هاتف")</f>
        <v>هاتف</v>
      </c>
    </row>
    <row r="913" ht="14.25" customHeight="1">
      <c r="A913" s="5"/>
      <c r="B913" s="2" t="s">
        <v>1022</v>
      </c>
      <c r="C913" s="2">
        <v>16.0</v>
      </c>
      <c r="E913" s="14" t="s">
        <v>120</v>
      </c>
      <c r="F913" s="15" t="str">
        <f>IFERROR(__xludf.DUMMYFUNCTION("GOOGLETRANSLATE(B913,""en"",""ar"")"),"مصنع")</f>
        <v>مصنع</v>
      </c>
    </row>
    <row r="914" ht="14.25" customHeight="1">
      <c r="A914" s="5"/>
      <c r="B914" s="2" t="s">
        <v>1023</v>
      </c>
      <c r="C914" s="2">
        <v>16.0</v>
      </c>
      <c r="E914" s="14" t="s">
        <v>149</v>
      </c>
      <c r="F914" s="15" t="str">
        <f>IFERROR(__xludf.DUMMYFUNCTION("GOOGLETRANSLATE(B914,""en"",""ar"")"),"بلاستيك")</f>
        <v>بلاستيك</v>
      </c>
    </row>
    <row r="915" ht="14.25" customHeight="1">
      <c r="A915" s="5"/>
      <c r="B915" s="2" t="s">
        <v>1024</v>
      </c>
      <c r="C915" s="2">
        <v>16.0</v>
      </c>
      <c r="E915" s="14" t="s">
        <v>13</v>
      </c>
      <c r="F915" s="15" t="str">
        <f>IFERROR(__xludf.DUMMYFUNCTION("GOOGLETRANSLATE(B915,""en"",""ar"")"),"خفض")</f>
        <v>خفض</v>
      </c>
    </row>
    <row r="916" ht="14.25" customHeight="1">
      <c r="A916" s="5"/>
      <c r="B916" s="2" t="s">
        <v>1025</v>
      </c>
      <c r="C916" s="2">
        <v>16.0</v>
      </c>
      <c r="E916" s="14" t="s">
        <v>43</v>
      </c>
      <c r="F916" s="15" t="str">
        <f>IFERROR(__xludf.DUMMYFUNCTION("GOOGLETRANSLATE(B916,""en"",""ar"")"),"نسبياً")</f>
        <v>نسبياً</v>
      </c>
    </row>
    <row r="917" ht="14.25" customHeight="1">
      <c r="A917" s="5"/>
      <c r="B917" s="2" t="s">
        <v>1026</v>
      </c>
      <c r="C917" s="2">
        <v>16.0</v>
      </c>
      <c r="E917" s="14" t="s">
        <v>80</v>
      </c>
      <c r="F917" s="15" t="str">
        <f>IFERROR(__xludf.DUMMYFUNCTION("GOOGLETRANSLATE(B917,""en"",""ar"")"),"مشهد")</f>
        <v>مشهد</v>
      </c>
    </row>
    <row r="918" ht="14.25" customHeight="1">
      <c r="A918" s="5"/>
      <c r="B918" s="2" t="s">
        <v>1027</v>
      </c>
      <c r="C918" s="2">
        <v>16.0</v>
      </c>
      <c r="E918" s="14" t="s">
        <v>113</v>
      </c>
      <c r="F918" s="15" t="str">
        <f>IFERROR(__xludf.DUMMYFUNCTION("GOOGLETRANSLATE(B918,""en"",""ar"")"),"جدي")</f>
        <v>جدي</v>
      </c>
    </row>
    <row r="919" ht="14.25" customHeight="1">
      <c r="A919" s="5"/>
      <c r="B919" s="2" t="s">
        <v>1028</v>
      </c>
      <c r="C919" s="2">
        <v>16.0</v>
      </c>
      <c r="E919" s="14" t="s">
        <v>43</v>
      </c>
      <c r="F919" s="15" t="str">
        <f>IFERROR(__xludf.DUMMYFUNCTION("GOOGLETRANSLATE(B919,""en"",""ar"")"),"ببطء")</f>
        <v>ببطء</v>
      </c>
    </row>
    <row r="920" ht="14.25" customHeight="1">
      <c r="A920" s="5"/>
      <c r="B920" s="2" t="s">
        <v>1029</v>
      </c>
      <c r="C920" s="2">
        <v>16.0</v>
      </c>
      <c r="E920" s="14" t="s">
        <v>13</v>
      </c>
      <c r="F920" s="15" t="str">
        <f>IFERROR(__xludf.DUMMYFUNCTION("GOOGLETRANSLATE(B920,""en"",""ar"")"),"تحدث")</f>
        <v>تحدث</v>
      </c>
    </row>
    <row r="921" ht="14.25" customHeight="1">
      <c r="A921" s="5"/>
      <c r="B921" s="2" t="s">
        <v>1030</v>
      </c>
      <c r="C921" s="2">
        <v>16.0</v>
      </c>
      <c r="E921" s="14" t="s">
        <v>120</v>
      </c>
      <c r="F921" s="15" t="str">
        <f>IFERROR(__xludf.DUMMYFUNCTION("GOOGLETRANSLATE(B921,""en"",""ar"")"),"بقعة")</f>
        <v>بقعة</v>
      </c>
    </row>
    <row r="922" ht="14.25" customHeight="1">
      <c r="A922" s="5"/>
      <c r="B922" s="2" t="s">
        <v>1031</v>
      </c>
      <c r="C922" s="2">
        <v>16.0</v>
      </c>
      <c r="E922" s="14" t="s">
        <v>120</v>
      </c>
      <c r="F922" s="15" t="str">
        <f>IFERROR(__xludf.DUMMYFUNCTION("GOOGLETRANSLATE(B922,""en"",""ar"")"),"الصيف")</f>
        <v>الصيف</v>
      </c>
    </row>
    <row r="923" ht="14.25" customHeight="1">
      <c r="A923" s="5"/>
      <c r="B923" s="2" t="s">
        <v>1032</v>
      </c>
      <c r="C923" s="2">
        <v>16.0</v>
      </c>
      <c r="E923" s="14" t="s">
        <v>120</v>
      </c>
      <c r="F923" s="15" t="str">
        <f>IFERROR(__xludf.DUMMYFUNCTION("GOOGLETRANSLATE(B923,""en"",""ar"")"),"المذاق")</f>
        <v>المذاق</v>
      </c>
    </row>
    <row r="924" ht="14.25" customHeight="1">
      <c r="A924" s="5"/>
      <c r="B924" s="2" t="s">
        <v>1033</v>
      </c>
      <c r="C924" s="2">
        <v>16.0</v>
      </c>
      <c r="E924" s="14" t="s">
        <v>120</v>
      </c>
      <c r="F924" s="15" t="str">
        <f>IFERROR(__xludf.DUMMYFUNCTION("GOOGLETRANSLATE(B924,""en"",""ar"")"),"سمة")</f>
        <v>سمة</v>
      </c>
    </row>
    <row r="925" ht="14.25" customHeight="1">
      <c r="A925" s="5"/>
      <c r="B925" s="2" t="s">
        <v>1034</v>
      </c>
      <c r="C925" s="2">
        <v>16.0</v>
      </c>
      <c r="E925" s="14" t="s">
        <v>33</v>
      </c>
      <c r="F925" s="15" t="str">
        <f>IFERROR(__xludf.DUMMYFUNCTION("GOOGLETRANSLATE(B925,""en"",""ar"")"),"من اتجاه")</f>
        <v>من اتجاه</v>
      </c>
    </row>
    <row r="926" ht="14.25" customHeight="1">
      <c r="A926" s="5"/>
      <c r="B926" s="2" t="s">
        <v>1035</v>
      </c>
      <c r="C926" s="2">
        <v>16.0</v>
      </c>
      <c r="E926" s="14" t="s">
        <v>120</v>
      </c>
      <c r="F926" s="15" t="str">
        <f>IFERROR(__xludf.DUMMYFUNCTION("GOOGLETRANSLATE(B926,""en"",""ar"")"),"مسار")</f>
        <v>مسار</v>
      </c>
    </row>
    <row r="927" ht="14.25" customHeight="1">
      <c r="A927" s="5"/>
      <c r="B927" s="2" t="s">
        <v>1036</v>
      </c>
      <c r="C927" s="2">
        <v>16.0</v>
      </c>
      <c r="E927" s="14" t="s">
        <v>236</v>
      </c>
      <c r="F927" s="15" t="str">
        <f>IFERROR(__xludf.DUMMYFUNCTION("GOOGLETRANSLATE(B927,""en"",""ar"")"),"ذو قيمة")</f>
        <v>ذو قيمة</v>
      </c>
    </row>
    <row r="928" ht="14.25" customHeight="1">
      <c r="A928" s="5"/>
      <c r="B928" s="2" t="s">
        <v>1037</v>
      </c>
      <c r="C928" s="2">
        <v>16.0</v>
      </c>
      <c r="E928" s="14" t="s">
        <v>1038</v>
      </c>
      <c r="F928" s="15" t="str">
        <f>IFERROR(__xludf.DUMMYFUNCTION("GOOGLETRANSLATE(B928,""en"",""ar"")"),"ايا كان")</f>
        <v>ايا كان</v>
      </c>
    </row>
    <row r="929" ht="14.25" customHeight="1">
      <c r="A929" s="5"/>
      <c r="B929" s="2" t="s">
        <v>1039</v>
      </c>
      <c r="C929" s="2">
        <v>16.0</v>
      </c>
      <c r="E929" s="14" t="s">
        <v>120</v>
      </c>
      <c r="F929" s="15" t="str">
        <f>IFERROR(__xludf.DUMMYFUNCTION("GOOGLETRANSLATE(B929,""en"",""ar"")"),"جناح")</f>
        <v>جناح</v>
      </c>
    </row>
    <row r="930" ht="14.25" customHeight="1">
      <c r="A930" s="5"/>
      <c r="B930" s="2" t="s">
        <v>1040</v>
      </c>
      <c r="C930" s="2">
        <v>16.0</v>
      </c>
      <c r="E930" s="14" t="s">
        <v>95</v>
      </c>
      <c r="F930" s="15" t="str">
        <f>IFERROR(__xludf.DUMMYFUNCTION("GOOGLETRANSLATE(B930,""en"",""ar"")"),"قلق")</f>
        <v>قلق</v>
      </c>
    </row>
    <row r="931" ht="14.25" customHeight="1">
      <c r="A931" s="5"/>
      <c r="B931" s="2" t="s">
        <v>1041</v>
      </c>
      <c r="C931" s="2">
        <v>15.0</v>
      </c>
      <c r="E931" s="14" t="s">
        <v>13</v>
      </c>
      <c r="F931" s="15" t="str">
        <f>IFERROR(__xludf.DUMMYFUNCTION("GOOGLETRANSLATE(B931,""en"",""ar"")"),"يظهر")</f>
        <v>يظهر</v>
      </c>
    </row>
    <row r="932" ht="14.25" customHeight="1">
      <c r="A932" s="5"/>
      <c r="B932" s="2" t="s">
        <v>1042</v>
      </c>
      <c r="C932" s="2">
        <v>15.0</v>
      </c>
      <c r="E932" s="14" t="s">
        <v>80</v>
      </c>
      <c r="F932" s="15" t="str">
        <f>IFERROR(__xludf.DUMMYFUNCTION("GOOGLETRANSLATE(B932,""en"",""ar"")"),"مظهر خارجي")</f>
        <v>مظهر خارجي</v>
      </c>
    </row>
    <row r="933" ht="14.25" customHeight="1">
      <c r="A933" s="5"/>
      <c r="B933" s="2" t="s">
        <v>1043</v>
      </c>
      <c r="C933" s="2">
        <v>15.0</v>
      </c>
      <c r="E933" s="14" t="s">
        <v>80</v>
      </c>
      <c r="F933" s="15" t="str">
        <f>IFERROR(__xludf.DUMMYFUNCTION("GOOGLETRANSLATE(B933,""en"",""ar"")"),"جمعية")</f>
        <v>جمعية</v>
      </c>
    </row>
    <row r="934" ht="14.25" customHeight="1">
      <c r="A934" s="5"/>
      <c r="B934" s="2" t="s">
        <v>1044</v>
      </c>
      <c r="C934" s="2">
        <v>15.0</v>
      </c>
      <c r="E934" s="14" t="s">
        <v>120</v>
      </c>
      <c r="F934" s="15" t="str">
        <f>IFERROR(__xludf.DUMMYFUNCTION("GOOGLETRANSLATE(B934,""en"",""ar"")"),"مخ")</f>
        <v>مخ</v>
      </c>
    </row>
    <row r="935" ht="14.25" customHeight="1">
      <c r="A935" s="5"/>
      <c r="B935" s="2" t="s">
        <v>1045</v>
      </c>
      <c r="C935" s="2">
        <v>15.0</v>
      </c>
      <c r="E935" s="14" t="s">
        <v>120</v>
      </c>
      <c r="F935" s="15" t="str">
        <f>IFERROR(__xludf.DUMMYFUNCTION("GOOGLETRANSLATE(B935,""en"",""ar"")"),"زر")</f>
        <v>زر</v>
      </c>
    </row>
    <row r="936" ht="14.25" customHeight="1">
      <c r="A936" s="5"/>
      <c r="B936" s="2" t="s">
        <v>1046</v>
      </c>
      <c r="C936" s="2">
        <v>15.0</v>
      </c>
      <c r="E936" s="14" t="s">
        <v>120</v>
      </c>
      <c r="F936" s="15" t="str">
        <f>IFERROR(__xludf.DUMMYFUNCTION("GOOGLETRANSLATE(B936,""en"",""ar"")"),"انقر")</f>
        <v>انقر</v>
      </c>
    </row>
    <row r="937" ht="14.25" customHeight="1">
      <c r="A937" s="5"/>
      <c r="B937" s="2" t="s">
        <v>1047</v>
      </c>
      <c r="C937" s="2">
        <v>15.0</v>
      </c>
      <c r="E937" s="14" t="s">
        <v>80</v>
      </c>
      <c r="F937" s="15" t="str">
        <f>IFERROR(__xludf.DUMMYFUNCTION("GOOGLETRANSLATE(B937,""en"",""ar"")"),"مفهوم")</f>
        <v>مفهوم</v>
      </c>
    </row>
    <row r="938" ht="14.25" customHeight="1">
      <c r="A938" s="5"/>
      <c r="B938" s="2" t="s">
        <v>1048</v>
      </c>
      <c r="C938" s="2">
        <v>15.0</v>
      </c>
      <c r="E938" s="14" t="s">
        <v>180</v>
      </c>
      <c r="F938" s="15" t="str">
        <f>IFERROR(__xludf.DUMMYFUNCTION("GOOGLETRANSLATE(B938,""en"",""ar"")"),"صحيح")</f>
        <v>صحيح</v>
      </c>
    </row>
    <row r="939" ht="14.25" customHeight="1">
      <c r="A939" s="5"/>
      <c r="B939" s="2" t="s">
        <v>1049</v>
      </c>
      <c r="C939" s="2">
        <v>15.0</v>
      </c>
      <c r="E939" s="14" t="s">
        <v>80</v>
      </c>
      <c r="F939" s="15" t="str">
        <f>IFERROR(__xludf.DUMMYFUNCTION("GOOGLETRANSLATE(B939,""en"",""ar"")"),"عميل")</f>
        <v>عميل</v>
      </c>
    </row>
    <row r="940" ht="14.25" customHeight="1">
      <c r="A940" s="5"/>
      <c r="B940" s="2" t="s">
        <v>1050</v>
      </c>
      <c r="C940" s="2">
        <v>15.0</v>
      </c>
      <c r="E940" s="14" t="s">
        <v>80</v>
      </c>
      <c r="F940" s="15" t="str">
        <f>IFERROR(__xludf.DUMMYFUNCTION("GOOGLETRANSLATE(B940,""en"",""ar"")"),"الموت")</f>
        <v>الموت</v>
      </c>
    </row>
    <row r="941" ht="14.25" customHeight="1">
      <c r="A941" s="5"/>
      <c r="B941" s="2" t="s">
        <v>1051</v>
      </c>
      <c r="C941" s="2">
        <v>15.0</v>
      </c>
      <c r="E941" s="14" t="s">
        <v>120</v>
      </c>
      <c r="F941" s="15" t="str">
        <f>IFERROR(__xludf.DUMMYFUNCTION("GOOGLETRANSLATE(B941,""en"",""ar"")"),"رغبة")</f>
        <v>رغبة</v>
      </c>
    </row>
    <row r="942" ht="14.25" customHeight="1">
      <c r="A942" s="5"/>
      <c r="B942" s="2" t="s">
        <v>1052</v>
      </c>
      <c r="C942" s="2">
        <v>15.0</v>
      </c>
      <c r="E942" s="14" t="s">
        <v>80</v>
      </c>
      <c r="F942" s="15" t="str">
        <f>IFERROR(__xludf.DUMMYFUNCTION("GOOGLETRANSLATE(B942,""en"",""ar"")"),"نقاش")</f>
        <v>نقاش</v>
      </c>
    </row>
    <row r="943" ht="14.25" customHeight="1">
      <c r="A943" s="5"/>
      <c r="B943" s="2" t="s">
        <v>1053</v>
      </c>
      <c r="C943" s="2">
        <v>15.0</v>
      </c>
      <c r="E943" s="14" t="s">
        <v>13</v>
      </c>
      <c r="F943" s="15" t="str">
        <f>IFERROR(__xludf.DUMMYFUNCTION("GOOGLETRANSLATE(B943,""en"",""ar"")"),"يشرح")</f>
        <v>يشرح</v>
      </c>
    </row>
    <row r="944" ht="14.25" customHeight="1">
      <c r="A944" s="5"/>
      <c r="B944" s="2" t="s">
        <v>1054</v>
      </c>
      <c r="C944" s="2">
        <v>15.0</v>
      </c>
      <c r="E944" s="14" t="s">
        <v>13</v>
      </c>
      <c r="F944" s="15" t="str">
        <f>IFERROR(__xludf.DUMMYFUNCTION("GOOGLETRANSLATE(B944,""en"",""ar"")"),"يكتشف")</f>
        <v>يكتشف</v>
      </c>
    </row>
    <row r="945" ht="14.25" customHeight="1">
      <c r="A945" s="5"/>
      <c r="B945" s="2" t="s">
        <v>1055</v>
      </c>
      <c r="C945" s="2">
        <v>15.0</v>
      </c>
      <c r="E945" s="14" t="s">
        <v>1056</v>
      </c>
      <c r="F945" s="15" t="str">
        <f>IFERROR(__xludf.DUMMYFUNCTION("GOOGLETRANSLATE(B945,""en"",""ar"")"),"التعبير")</f>
        <v>التعبير</v>
      </c>
    </row>
    <row r="946" ht="14.25" customHeight="1">
      <c r="A946" s="5"/>
      <c r="B946" s="2" t="s">
        <v>1057</v>
      </c>
      <c r="C946" s="2">
        <v>15.0</v>
      </c>
      <c r="E946" s="14" t="s">
        <v>43</v>
      </c>
      <c r="F946" s="15" t="str">
        <f>IFERROR(__xludf.DUMMYFUNCTION("GOOGLETRANSLATE(B946,""en"",""ar"")"),"تماما")</f>
        <v>تماما</v>
      </c>
    </row>
    <row r="947" ht="14.25" customHeight="1">
      <c r="A947" s="5"/>
      <c r="B947" s="2" t="s">
        <v>1058</v>
      </c>
      <c r="C947" s="2">
        <v>15.0</v>
      </c>
      <c r="E947" s="14" t="s">
        <v>88</v>
      </c>
      <c r="F947" s="15" t="str">
        <f>IFERROR(__xludf.DUMMYFUNCTION("GOOGLETRANSLATE(B947,""en"",""ar"")"),"مُثَبَّت")</f>
        <v>مُثَبَّت</v>
      </c>
    </row>
    <row r="948" ht="14.25" customHeight="1">
      <c r="A948" s="5"/>
      <c r="B948" s="2" t="s">
        <v>1059</v>
      </c>
      <c r="C948" s="2">
        <v>15.0</v>
      </c>
      <c r="E948" s="14" t="s">
        <v>120</v>
      </c>
      <c r="F948" s="15" t="str">
        <f>IFERROR(__xludf.DUMMYFUNCTION("GOOGLETRANSLATE(B948,""en"",""ar"")"),"قدم")</f>
        <v>قدم</v>
      </c>
    </row>
    <row r="949" ht="14.25" customHeight="1">
      <c r="A949" s="5"/>
      <c r="B949" s="2" t="s">
        <v>1060</v>
      </c>
      <c r="C949" s="2">
        <v>15.0</v>
      </c>
      <c r="E949" s="14" t="s">
        <v>120</v>
      </c>
      <c r="F949" s="15" t="str">
        <f>IFERROR(__xludf.DUMMYFUNCTION("GOOGLETRANSLATE(B949,""en"",""ar"")"),"غاز")</f>
        <v>غاز</v>
      </c>
    </row>
    <row r="950" ht="14.25" customHeight="1">
      <c r="A950" s="5"/>
      <c r="B950" s="2" t="s">
        <v>1061</v>
      </c>
      <c r="C950" s="2">
        <v>15.0</v>
      </c>
      <c r="E950" s="14" t="s">
        <v>95</v>
      </c>
      <c r="F950" s="15" t="str">
        <f>IFERROR(__xludf.DUMMYFUNCTION("GOOGLETRANSLATE(B950,""en"",""ar"")"),"يتعامل")</f>
        <v>يتعامل</v>
      </c>
    </row>
    <row r="951" ht="14.25" customHeight="1">
      <c r="A951" s="5"/>
      <c r="B951" s="2" t="s">
        <v>1062</v>
      </c>
      <c r="C951" s="2">
        <v>15.0</v>
      </c>
      <c r="E951" s="14" t="s">
        <v>80</v>
      </c>
      <c r="F951" s="15" t="str">
        <f>IFERROR(__xludf.DUMMYFUNCTION("GOOGLETRANSLATE(B951,""en"",""ar"")"),"السكن")</f>
        <v>السكن</v>
      </c>
    </row>
    <row r="952" ht="14.25" customHeight="1">
      <c r="A952" s="5"/>
      <c r="B952" s="2" t="s">
        <v>1063</v>
      </c>
      <c r="C952" s="2">
        <v>15.0</v>
      </c>
      <c r="E952" s="14" t="s">
        <v>113</v>
      </c>
      <c r="F952" s="15" t="str">
        <f>IFERROR(__xludf.DUMMYFUNCTION("GOOGLETRANSLATE(B952,""en"",""ar"")"),"تسربت")</f>
        <v>تسربت</v>
      </c>
    </row>
    <row r="953" ht="14.25" customHeight="1">
      <c r="A953" s="5"/>
      <c r="B953" s="2" t="s">
        <v>1064</v>
      </c>
      <c r="C953" s="2">
        <v>15.0</v>
      </c>
      <c r="E953" s="14" t="s">
        <v>80</v>
      </c>
      <c r="F953" s="15" t="str">
        <f>IFERROR(__xludf.DUMMYFUNCTION("GOOGLETRANSLATE(B953,""en"",""ar"")"),"التضخم")</f>
        <v>التضخم</v>
      </c>
    </row>
    <row r="954" ht="14.25" customHeight="1">
      <c r="A954" s="5"/>
      <c r="B954" s="2" t="s">
        <v>1065</v>
      </c>
      <c r="C954" s="2">
        <v>15.0</v>
      </c>
      <c r="E954" s="14" t="s">
        <v>120</v>
      </c>
      <c r="F954" s="15" t="str">
        <f>IFERROR(__xludf.DUMMYFUNCTION("GOOGLETRANSLATE(B954,""en"",""ar"")"),"تأثير")</f>
        <v>تأثير</v>
      </c>
    </row>
    <row r="955" ht="14.25" customHeight="1">
      <c r="A955" s="5"/>
      <c r="B955" s="2" t="s">
        <v>1066</v>
      </c>
      <c r="C955" s="2">
        <v>15.0</v>
      </c>
      <c r="E955" s="14" t="s">
        <v>80</v>
      </c>
      <c r="F955" s="15" t="str">
        <f>IFERROR(__xludf.DUMMYFUNCTION("GOOGLETRANSLATE(B955,""en"",""ar"")"),"تأمين")</f>
        <v>تأمين</v>
      </c>
    </row>
    <row r="956" ht="14.25" customHeight="1">
      <c r="A956" s="5"/>
      <c r="B956" s="2" t="s">
        <v>1067</v>
      </c>
      <c r="C956" s="2">
        <v>15.0</v>
      </c>
      <c r="E956" s="14" t="s">
        <v>13</v>
      </c>
      <c r="F956" s="15" t="str">
        <f>IFERROR(__xludf.DUMMYFUNCTION("GOOGLETRANSLATE(B956,""en"",""ar"")"),"تنطوي")</f>
        <v>تنطوي</v>
      </c>
    </row>
    <row r="957" ht="14.25" customHeight="1">
      <c r="A957" s="5"/>
      <c r="B957" s="2" t="s">
        <v>1068</v>
      </c>
      <c r="C957" s="2">
        <v>15.0</v>
      </c>
      <c r="E957" s="14" t="s">
        <v>236</v>
      </c>
      <c r="F957" s="15" t="str">
        <f>IFERROR(__xludf.DUMMYFUNCTION("GOOGLETRANSLATE(B957,""en"",""ar"")"),"قيادة")</f>
        <v>قيادة</v>
      </c>
    </row>
    <row r="958" ht="14.25" customHeight="1">
      <c r="A958" s="5"/>
      <c r="B958" s="2" t="s">
        <v>1069</v>
      </c>
      <c r="C958" s="2">
        <v>15.0</v>
      </c>
      <c r="E958" s="14" t="s">
        <v>13</v>
      </c>
      <c r="F958" s="15" t="str">
        <f>IFERROR(__xludf.DUMMYFUNCTION("GOOGLETRANSLATE(B958,""en"",""ar"")"),"تخسر")</f>
        <v>تخسر</v>
      </c>
    </row>
    <row r="959" ht="14.25" customHeight="1">
      <c r="A959" s="5"/>
      <c r="B959" s="2" t="s">
        <v>1070</v>
      </c>
      <c r="C959" s="2">
        <v>15.0</v>
      </c>
      <c r="E959" s="14" t="s">
        <v>95</v>
      </c>
      <c r="F959" s="15" t="str">
        <f>IFERROR(__xludf.DUMMYFUNCTION("GOOGLETRANSLATE(B959,""en"",""ar"")"),"يجتمع")</f>
        <v>يجتمع</v>
      </c>
    </row>
    <row r="960" ht="14.25" customHeight="1">
      <c r="A960" s="5"/>
      <c r="B960" s="2" t="s">
        <v>1071</v>
      </c>
      <c r="C960" s="2">
        <v>15.0</v>
      </c>
      <c r="E960" s="14" t="s">
        <v>80</v>
      </c>
      <c r="F960" s="15" t="str">
        <f>IFERROR(__xludf.DUMMYFUNCTION("GOOGLETRANSLATE(B960,""en"",""ar"")"),"مزاج")</f>
        <v>مزاج</v>
      </c>
    </row>
    <row r="961" ht="14.25" customHeight="1">
      <c r="A961" s="5"/>
      <c r="B961" s="2" t="s">
        <v>1072</v>
      </c>
      <c r="C961" s="2">
        <v>15.0</v>
      </c>
      <c r="E961" s="14" t="s">
        <v>120</v>
      </c>
      <c r="F961" s="15" t="str">
        <f>IFERROR(__xludf.DUMMYFUNCTION("GOOGLETRANSLATE(B961,""en"",""ar"")"),"تنويه")</f>
        <v>تنويه</v>
      </c>
    </row>
    <row r="962" ht="14.25" customHeight="1">
      <c r="A962" s="5"/>
      <c r="B962" s="2" t="s">
        <v>1073</v>
      </c>
      <c r="C962" s="2">
        <v>15.0</v>
      </c>
      <c r="E962" s="14" t="s">
        <v>43</v>
      </c>
      <c r="F962" s="15" t="str">
        <f>IFERROR(__xludf.DUMMYFUNCTION("GOOGLETRANSLATE(B962,""en"",""ar"")"),"بالدرجة الأولى")</f>
        <v>بالدرجة الأولى</v>
      </c>
    </row>
    <row r="963" ht="14.25" customHeight="1">
      <c r="A963" s="5"/>
      <c r="B963" s="2" t="s">
        <v>1074</v>
      </c>
      <c r="C963" s="2">
        <v>15.0</v>
      </c>
      <c r="E963" s="14" t="s">
        <v>120</v>
      </c>
      <c r="F963" s="15" t="str">
        <f>IFERROR(__xludf.DUMMYFUNCTION("GOOGLETRANSLATE(B963,""en"",""ar"")"),"مطر")</f>
        <v>مطر</v>
      </c>
    </row>
    <row r="964" ht="14.25" customHeight="1">
      <c r="A964" s="5"/>
      <c r="B964" s="2" t="s">
        <v>1075</v>
      </c>
      <c r="C964" s="2">
        <v>15.0</v>
      </c>
      <c r="E964" s="14" t="s">
        <v>113</v>
      </c>
      <c r="F964" s="15" t="str">
        <f>IFERROR(__xludf.DUMMYFUNCTION("GOOGLETRANSLATE(B964,""en"",""ar"")"),"نادر")</f>
        <v>نادر</v>
      </c>
    </row>
    <row r="965" ht="14.25" customHeight="1">
      <c r="A965" s="5"/>
      <c r="B965" s="2" t="s">
        <v>1076</v>
      </c>
      <c r="C965" s="2">
        <v>15.0</v>
      </c>
      <c r="E965" s="14" t="s">
        <v>95</v>
      </c>
      <c r="F965" s="15" t="str">
        <f>IFERROR(__xludf.DUMMYFUNCTION("GOOGLETRANSLATE(B965,""en"",""ar"")"),"إطلاق سراح")</f>
        <v>إطلاق سراح</v>
      </c>
    </row>
    <row r="966" ht="14.25" customHeight="1">
      <c r="A966" s="5"/>
      <c r="B966" s="2" t="s">
        <v>1077</v>
      </c>
      <c r="C966" s="2">
        <v>15.0</v>
      </c>
      <c r="E966" s="14" t="s">
        <v>95</v>
      </c>
      <c r="F966" s="15" t="str">
        <f>IFERROR(__xludf.DUMMYFUNCTION("GOOGLETRANSLATE(B966,""en"",""ar"")"),"باع")</f>
        <v>باع</v>
      </c>
    </row>
    <row r="967" ht="14.25" customHeight="1">
      <c r="A967" s="5"/>
      <c r="B967" s="2" t="s">
        <v>1078</v>
      </c>
      <c r="C967" s="2">
        <v>15.0</v>
      </c>
      <c r="E967" s="14" t="s">
        <v>200</v>
      </c>
      <c r="F967" s="15" t="str">
        <f>IFERROR(__xludf.DUMMYFUNCTION("GOOGLETRANSLATE(B967,""en"",""ar"")"),"بطيء")</f>
        <v>بطيء</v>
      </c>
    </row>
    <row r="968" ht="14.25" customHeight="1">
      <c r="A968" s="5"/>
      <c r="B968" s="2" t="s">
        <v>1079</v>
      </c>
      <c r="C968" s="2">
        <v>15.0</v>
      </c>
      <c r="E968" s="14" t="s">
        <v>113</v>
      </c>
      <c r="F968" s="15" t="str">
        <f>IFERROR(__xludf.DUMMYFUNCTION("GOOGLETRANSLATE(B968,""en"",""ar"")"),"تقني")</f>
        <v>تقني</v>
      </c>
    </row>
    <row r="969" ht="14.25" customHeight="1">
      <c r="A969" s="5"/>
      <c r="B969" s="2" t="s">
        <v>1080</v>
      </c>
      <c r="C969" s="2">
        <v>15.0</v>
      </c>
      <c r="E969" s="14" t="s">
        <v>113</v>
      </c>
      <c r="F969" s="15" t="str">
        <f>IFERROR(__xludf.DUMMYFUNCTION("GOOGLETRANSLATE(B969,""en"",""ar"")"),"عادي")</f>
        <v>عادي</v>
      </c>
    </row>
    <row r="970" ht="14.25" customHeight="1">
      <c r="A970" s="5"/>
      <c r="B970" s="2" t="s">
        <v>1081</v>
      </c>
      <c r="C970" s="2">
        <v>15.0</v>
      </c>
      <c r="E970" s="14" t="s">
        <v>33</v>
      </c>
      <c r="F970" s="15" t="str">
        <f>IFERROR(__xludf.DUMMYFUNCTION("GOOGLETRANSLATE(B970,""en"",""ar"")"),"على")</f>
        <v>على</v>
      </c>
    </row>
    <row r="971" ht="14.25" customHeight="1">
      <c r="A971" s="5"/>
      <c r="B971" s="2" t="s">
        <v>1082</v>
      </c>
      <c r="C971" s="2">
        <v>15.0</v>
      </c>
      <c r="E971" s="14" t="s">
        <v>120</v>
      </c>
      <c r="F971" s="15" t="str">
        <f>IFERROR(__xludf.DUMMYFUNCTION("GOOGLETRANSLATE(B971,""en"",""ar"")"),"حائط")</f>
        <v>حائط</v>
      </c>
    </row>
    <row r="972" ht="14.25" customHeight="1">
      <c r="A972" s="5"/>
      <c r="B972" s="2" t="s">
        <v>1083</v>
      </c>
      <c r="C972" s="2">
        <v>15.0</v>
      </c>
      <c r="E972" s="14" t="s">
        <v>80</v>
      </c>
      <c r="F972" s="15" t="str">
        <f>IFERROR(__xludf.DUMMYFUNCTION("GOOGLETRANSLATE(B972,""en"",""ar"")"),"النساء")</f>
        <v>النساء</v>
      </c>
    </row>
    <row r="973" ht="14.25" customHeight="1">
      <c r="A973" s="5"/>
      <c r="B973" s="2" t="s">
        <v>1084</v>
      </c>
      <c r="C973" s="2">
        <v>14.0</v>
      </c>
      <c r="E973" s="14" t="s">
        <v>80</v>
      </c>
      <c r="F973" s="15" t="str">
        <f>IFERROR(__xludf.DUMMYFUNCTION("GOOGLETRANSLATE(B973,""en"",""ar"")"),"النصيحة")</f>
        <v>النصيحة</v>
      </c>
    </row>
    <row r="974" ht="14.25" customHeight="1">
      <c r="A974" s="5"/>
      <c r="B974" s="2" t="s">
        <v>1085</v>
      </c>
      <c r="C974" s="2">
        <v>14.0</v>
      </c>
      <c r="E974" s="14" t="s">
        <v>13</v>
      </c>
      <c r="F974" s="15" t="str">
        <f>IFERROR(__xludf.DUMMYFUNCTION("GOOGLETRANSLATE(B974,""en"",""ar"")"),"يمنح")</f>
        <v>يمنح</v>
      </c>
    </row>
    <row r="975" ht="14.25" customHeight="1">
      <c r="A975" s="5"/>
      <c r="B975" s="2" t="s">
        <v>1086</v>
      </c>
      <c r="C975" s="2">
        <v>14.0</v>
      </c>
      <c r="E975" s="14" t="s">
        <v>13</v>
      </c>
      <c r="F975" s="15" t="str">
        <f>IFERROR(__xludf.DUMMYFUNCTION("GOOGLETRANSLATE(B975,""en"",""ar"")"),"يوافق على")</f>
        <v>يوافق على</v>
      </c>
    </row>
    <row r="976" ht="14.25" customHeight="1">
      <c r="A976" s="5"/>
      <c r="B976" s="2" t="s">
        <v>1087</v>
      </c>
      <c r="C976" s="2">
        <v>14.0</v>
      </c>
      <c r="E976" s="14" t="s">
        <v>129</v>
      </c>
      <c r="F976" s="15" t="str">
        <f>IFERROR(__xludf.DUMMYFUNCTION("GOOGLETRANSLATE(B976,""en"",""ar"")"),"قاعدة")</f>
        <v>قاعدة</v>
      </c>
    </row>
    <row r="977" ht="14.25" customHeight="1">
      <c r="A977" s="5"/>
      <c r="B977" s="2" t="s">
        <v>1088</v>
      </c>
      <c r="C977" s="2">
        <v>14.0</v>
      </c>
      <c r="E977" s="14" t="s">
        <v>80</v>
      </c>
      <c r="F977" s="15" t="str">
        <f>IFERROR(__xludf.DUMMYFUNCTION("GOOGLETRANSLATE(B977,""en"",""ar"")"),"الدم")</f>
        <v>الدم</v>
      </c>
    </row>
    <row r="978" ht="14.25" customHeight="1">
      <c r="A978" s="5"/>
      <c r="B978" s="2" t="s">
        <v>1089</v>
      </c>
      <c r="C978" s="2">
        <v>14.0</v>
      </c>
      <c r="E978" s="14" t="s">
        <v>200</v>
      </c>
      <c r="F978" s="15" t="str">
        <f>IFERROR(__xludf.DUMMYFUNCTION("GOOGLETRANSLATE(B978,""en"",""ar"")"),"ينظف")</f>
        <v>ينظف</v>
      </c>
    </row>
    <row r="979" ht="14.25" customHeight="1">
      <c r="A979" s="5"/>
      <c r="B979" s="2" t="s">
        <v>1090</v>
      </c>
      <c r="C979" s="2">
        <v>14.0</v>
      </c>
      <c r="E979" s="14" t="s">
        <v>113</v>
      </c>
      <c r="F979" s="15" t="str">
        <f>IFERROR(__xludf.DUMMYFUNCTION("GOOGLETRANSLATE(B979,""en"",""ar"")"),"منافس")</f>
        <v>منافس</v>
      </c>
    </row>
    <row r="980" ht="14.25" customHeight="1">
      <c r="A980" s="5"/>
      <c r="B980" s="2" t="s">
        <v>1091</v>
      </c>
      <c r="C980" s="2">
        <v>14.0</v>
      </c>
      <c r="E980" s="14" t="s">
        <v>43</v>
      </c>
      <c r="F980" s="15" t="str">
        <f>IFERROR(__xludf.DUMMYFUNCTION("GOOGLETRANSLATE(B980,""en"",""ar"")"),"تماما")</f>
        <v>تماما</v>
      </c>
    </row>
    <row r="981" ht="14.25" customHeight="1">
      <c r="A981" s="5"/>
      <c r="B981" s="2" t="s">
        <v>1092</v>
      </c>
      <c r="C981" s="2">
        <v>14.0</v>
      </c>
      <c r="E981" s="14" t="s">
        <v>113</v>
      </c>
      <c r="F981" s="15" t="str">
        <f>IFERROR(__xludf.DUMMYFUNCTION("GOOGLETRANSLATE(B981,""en"",""ar"")"),"حرج")</f>
        <v>حرج</v>
      </c>
    </row>
    <row r="982" ht="14.25" customHeight="1">
      <c r="A982" s="5"/>
      <c r="B982" s="2" t="s">
        <v>1093</v>
      </c>
      <c r="C982" s="2">
        <v>14.0</v>
      </c>
      <c r="E982" s="14" t="s">
        <v>120</v>
      </c>
      <c r="F982" s="15" t="str">
        <f>IFERROR(__xludf.DUMMYFUNCTION("GOOGLETRANSLATE(B982,""en"",""ar"")"),"تلف")</f>
        <v>تلف</v>
      </c>
    </row>
    <row r="983" ht="14.25" customHeight="1">
      <c r="A983" s="5"/>
      <c r="B983" s="2" t="s">
        <v>1094</v>
      </c>
      <c r="C983" s="2">
        <v>14.0</v>
      </c>
      <c r="E983" s="14" t="s">
        <v>120</v>
      </c>
      <c r="F983" s="15" t="str">
        <f>IFERROR(__xludf.DUMMYFUNCTION("GOOGLETRANSLATE(B983,""en"",""ar"")"),"مسافه: بعد")</f>
        <v>مسافه: بعد</v>
      </c>
    </row>
    <row r="984" ht="14.25" customHeight="1">
      <c r="A984" s="5"/>
      <c r="B984" s="2" t="s">
        <v>1095</v>
      </c>
      <c r="C984" s="2">
        <v>14.0</v>
      </c>
      <c r="E984" s="14" t="s">
        <v>80</v>
      </c>
      <c r="F984" s="15" t="str">
        <f>IFERROR(__xludf.DUMMYFUNCTION("GOOGLETRANSLATE(B984,""en"",""ar"")"),"مجهود")</f>
        <v>مجهود</v>
      </c>
    </row>
    <row r="985" ht="14.25" customHeight="1">
      <c r="A985" s="5"/>
      <c r="B985" s="2" t="s">
        <v>1096</v>
      </c>
      <c r="C985" s="2">
        <v>14.0</v>
      </c>
      <c r="E985" s="14" t="s">
        <v>113</v>
      </c>
      <c r="F985" s="15" t="str">
        <f>IFERROR(__xludf.DUMMYFUNCTION("GOOGLETRANSLATE(B985,""en"",""ar"")"),"إلكتروني")</f>
        <v>إلكتروني</v>
      </c>
    </row>
    <row r="986" ht="14.25" customHeight="1">
      <c r="A986" s="5"/>
      <c r="B986" s="2" t="s">
        <v>1097</v>
      </c>
      <c r="C986" s="2">
        <v>14.0</v>
      </c>
      <c r="E986" s="14" t="s">
        <v>80</v>
      </c>
      <c r="F986" s="15" t="str">
        <f>IFERROR(__xludf.DUMMYFUNCTION("GOOGLETRANSLATE(B986,""en"",""ar"")"),"التعبير")</f>
        <v>التعبير</v>
      </c>
    </row>
    <row r="987" ht="14.25" customHeight="1">
      <c r="A987" s="5"/>
      <c r="B987" s="2" t="s">
        <v>1098</v>
      </c>
      <c r="C987" s="2">
        <v>14.0</v>
      </c>
      <c r="E987" s="14" t="s">
        <v>149</v>
      </c>
      <c r="F987" s="15" t="str">
        <f>IFERROR(__xludf.DUMMYFUNCTION("GOOGLETRANSLATE(B987,""en"",""ar"")"),"شعور")</f>
        <v>شعور</v>
      </c>
    </row>
    <row r="988" ht="14.25" customHeight="1">
      <c r="A988" s="5"/>
      <c r="B988" s="2" t="s">
        <v>1099</v>
      </c>
      <c r="C988" s="2">
        <v>14.0</v>
      </c>
      <c r="E988" s="14" t="s">
        <v>95</v>
      </c>
      <c r="F988" s="15" t="str">
        <f>IFERROR(__xludf.DUMMYFUNCTION("GOOGLETRANSLATE(B988,""en"",""ar"")"),"إنهاء")</f>
        <v>إنهاء</v>
      </c>
    </row>
    <row r="989" ht="14.25" customHeight="1">
      <c r="A989" s="5"/>
      <c r="B989" s="2" t="s">
        <v>1100</v>
      </c>
      <c r="C989" s="2">
        <v>14.0</v>
      </c>
      <c r="E989" s="14" t="s">
        <v>51</v>
      </c>
      <c r="F989" s="15" t="str">
        <f>IFERROR(__xludf.DUMMYFUNCTION("GOOGLETRANSLATE(B989,""en"",""ar"")"),"طازج")</f>
        <v>طازج</v>
      </c>
    </row>
    <row r="990" ht="14.25" customHeight="1">
      <c r="A990" s="5"/>
      <c r="B990" s="2" t="s">
        <v>1101</v>
      </c>
      <c r="C990" s="2">
        <v>14.0</v>
      </c>
      <c r="E990" s="14" t="s">
        <v>13</v>
      </c>
      <c r="F990" s="15" t="str">
        <f>IFERROR(__xludf.DUMMYFUNCTION("GOOGLETRANSLATE(B990,""en"",""ar"")"),"يسمع")</f>
        <v>يسمع</v>
      </c>
    </row>
    <row r="991" ht="14.25" customHeight="1">
      <c r="A991" s="5"/>
      <c r="B991" s="2" t="s">
        <v>1102</v>
      </c>
      <c r="C991" s="2">
        <v>14.0</v>
      </c>
      <c r="E991" s="14" t="s">
        <v>113</v>
      </c>
      <c r="F991" s="15" t="str">
        <f>IFERROR(__xludf.DUMMYFUNCTION("GOOGLETRANSLATE(B991,""en"",""ar"")"),"فوري")</f>
        <v>فوري</v>
      </c>
    </row>
    <row r="992" ht="14.25" customHeight="1">
      <c r="A992" s="5"/>
      <c r="B992" s="2" t="s">
        <v>1103</v>
      </c>
      <c r="C992" s="2">
        <v>14.0</v>
      </c>
      <c r="E992" s="14" t="s">
        <v>80</v>
      </c>
      <c r="F992" s="15" t="str">
        <f>IFERROR(__xludf.DUMMYFUNCTION("GOOGLETRANSLATE(B992,""en"",""ar"")"),"أهمية")</f>
        <v>أهمية</v>
      </c>
    </row>
    <row r="993" ht="14.25" customHeight="1">
      <c r="A993" s="5"/>
      <c r="B993" s="2" t="s">
        <v>1104</v>
      </c>
      <c r="C993" s="2">
        <v>14.0</v>
      </c>
      <c r="E993" s="14" t="s">
        <v>236</v>
      </c>
      <c r="F993" s="15" t="str">
        <f>IFERROR(__xludf.DUMMYFUNCTION("GOOGLETRANSLATE(B993,""en"",""ar"")"),"عادي")</f>
        <v>عادي</v>
      </c>
    </row>
    <row r="994" ht="14.25" customHeight="1">
      <c r="A994" s="5"/>
      <c r="B994" s="2" t="s">
        <v>1105</v>
      </c>
      <c r="C994" s="2">
        <v>14.0</v>
      </c>
      <c r="E994" s="14" t="s">
        <v>80</v>
      </c>
      <c r="F994" s="15" t="str">
        <f>IFERROR(__xludf.DUMMYFUNCTION("GOOGLETRANSLATE(B994,""en"",""ar"")"),"رأي")</f>
        <v>رأي</v>
      </c>
    </row>
    <row r="995" ht="14.25" customHeight="1">
      <c r="A995" s="5"/>
      <c r="B995" s="2" t="s">
        <v>1106</v>
      </c>
      <c r="C995" s="2">
        <v>14.0</v>
      </c>
      <c r="E995" s="14" t="s">
        <v>144</v>
      </c>
      <c r="F995" s="15" t="str">
        <f>IFERROR(__xludf.DUMMYFUNCTION("GOOGLETRANSLATE(B995,""en"",""ar"")"),"خلاف ذلك")</f>
        <v>خلاف ذلك</v>
      </c>
    </row>
    <row r="996" ht="14.25" customHeight="1">
      <c r="A996" s="5"/>
      <c r="B996" s="2" t="s">
        <v>1107</v>
      </c>
      <c r="C996" s="2">
        <v>14.0</v>
      </c>
      <c r="E996" s="14" t="s">
        <v>120</v>
      </c>
      <c r="F996" s="15" t="str">
        <f>IFERROR(__xludf.DUMMYFUNCTION("GOOGLETRANSLATE(B996,""en"",""ar"")"),"زوج")</f>
        <v>زوج</v>
      </c>
    </row>
    <row r="997" ht="14.25" customHeight="1">
      <c r="A997" s="5"/>
      <c r="B997" s="2" t="s">
        <v>1108</v>
      </c>
      <c r="C997" s="2">
        <v>14.0</v>
      </c>
      <c r="E997" s="14" t="s">
        <v>80</v>
      </c>
      <c r="F997" s="15" t="str">
        <f>IFERROR(__xludf.DUMMYFUNCTION("GOOGLETRANSLATE(B997,""en"",""ar"")"),"دفع")</f>
        <v>دفع</v>
      </c>
    </row>
    <row r="998" ht="14.25" customHeight="1">
      <c r="A998" s="5"/>
      <c r="B998" s="2" t="s">
        <v>1109</v>
      </c>
      <c r="C998" s="2">
        <v>14.0</v>
      </c>
      <c r="E998" s="14" t="s">
        <v>1110</v>
      </c>
      <c r="F998" s="15" t="str">
        <f>IFERROR(__xludf.DUMMYFUNCTION("GOOGLETRANSLATE(B998,""en"",""ar"")"),"زائد")</f>
        <v>زائد</v>
      </c>
    </row>
    <row r="999" ht="14.25" customHeight="1">
      <c r="A999" s="5"/>
      <c r="B999" s="2" t="s">
        <v>1111</v>
      </c>
      <c r="C999" s="2">
        <v>14.0</v>
      </c>
      <c r="E999" s="14" t="s">
        <v>95</v>
      </c>
      <c r="F999" s="15" t="str">
        <f>IFERROR(__xludf.DUMMYFUNCTION("GOOGLETRANSLATE(B999,""en"",""ar"")"),"صحافة")</f>
        <v>صحافة</v>
      </c>
    </row>
    <row r="1000" ht="14.25" customHeight="1">
      <c r="A1000" s="5"/>
      <c r="B1000" s="2" t="s">
        <v>1112</v>
      </c>
      <c r="C1000" s="2">
        <v>14.0</v>
      </c>
      <c r="E1000" s="14" t="s">
        <v>80</v>
      </c>
      <c r="F1000" s="15" t="str">
        <f>IFERROR(__xludf.DUMMYFUNCTION("GOOGLETRANSLATE(B1000,""en"",""ar"")"),"واقع")</f>
        <v>واقع</v>
      </c>
    </row>
    <row r="1001" ht="14.25" customHeight="1">
      <c r="A1001" s="5"/>
      <c r="B1001" s="2" t="s">
        <v>1113</v>
      </c>
      <c r="C1001" s="2">
        <v>14.0</v>
      </c>
      <c r="E1001" s="14" t="s">
        <v>13</v>
      </c>
      <c r="F1001" s="15" t="str">
        <f>IFERROR(__xludf.DUMMYFUNCTION("GOOGLETRANSLATE(B1001,""en"",""ar"")"),"يبقى")</f>
        <v>يبقى</v>
      </c>
    </row>
    <row r="1002" ht="14.25" customHeight="1">
      <c r="A1002" s="5"/>
      <c r="B1002" s="2" t="s">
        <v>1114</v>
      </c>
      <c r="C1002" s="2">
        <v>14.0</v>
      </c>
      <c r="E1002" s="14" t="s">
        <v>13</v>
      </c>
      <c r="F1002" s="15" t="str">
        <f>IFERROR(__xludf.DUMMYFUNCTION("GOOGLETRANSLATE(B1002,""en"",""ar"")"),"يمثل")</f>
        <v>يمثل</v>
      </c>
    </row>
    <row r="1003" ht="14.25" customHeight="1">
      <c r="A1003" s="5"/>
      <c r="B1003" s="2" t="s">
        <v>1115</v>
      </c>
      <c r="C1003" s="2">
        <v>14.0</v>
      </c>
      <c r="E1003" s="14" t="s">
        <v>80</v>
      </c>
      <c r="F1003" s="15" t="str">
        <f>IFERROR(__xludf.DUMMYFUNCTION("GOOGLETRANSLATE(B1003,""en"",""ar"")"),"المسئولية")</f>
        <v>المسئولية</v>
      </c>
    </row>
    <row r="1004" ht="14.25" customHeight="1">
      <c r="A1004" s="5"/>
      <c r="B1004" s="2" t="s">
        <v>1116</v>
      </c>
      <c r="C1004" s="2">
        <v>14.0</v>
      </c>
      <c r="E1004" s="14" t="s">
        <v>95</v>
      </c>
      <c r="F1004" s="15" t="str">
        <f>IFERROR(__xludf.DUMMYFUNCTION("GOOGLETRANSLATE(B1004,""en"",""ar"")"),"اركب")</f>
        <v>اركب</v>
      </c>
    </row>
    <row r="1005" ht="14.25" customHeight="1">
      <c r="A1005" s="5"/>
      <c r="B1005" s="2" t="s">
        <v>1117</v>
      </c>
      <c r="C1005" s="2">
        <v>14.0</v>
      </c>
      <c r="E1005" s="14" t="s">
        <v>727</v>
      </c>
      <c r="F1005" s="15" t="str">
        <f>IFERROR(__xludf.DUMMYFUNCTION("GOOGLETRANSLATE(B1005,""en"",""ar"")"),"مدخرات")</f>
        <v>مدخرات</v>
      </c>
    </row>
    <row r="1006" ht="14.25" customHeight="1">
      <c r="A1006" s="5"/>
      <c r="B1006" s="2" t="s">
        <v>1118</v>
      </c>
      <c r="C1006" s="2">
        <v>14.0</v>
      </c>
      <c r="E1006" s="14" t="s">
        <v>236</v>
      </c>
      <c r="F1006" s="15" t="str">
        <f>IFERROR(__xludf.DUMMYFUNCTION("GOOGLETRANSLATE(B1006,""en"",""ar"")"),"سر")</f>
        <v>سر</v>
      </c>
    </row>
    <row r="1007" ht="14.25" customHeight="1">
      <c r="A1007" s="5"/>
      <c r="B1007" s="2" t="s">
        <v>1119</v>
      </c>
      <c r="C1007" s="2">
        <v>14.0</v>
      </c>
      <c r="E1007" s="14" t="s">
        <v>80</v>
      </c>
      <c r="F1007" s="15" t="str">
        <f>IFERROR(__xludf.DUMMYFUNCTION("GOOGLETRANSLATE(B1007,""en"",""ar"")"),"الموقف")</f>
        <v>الموقف</v>
      </c>
    </row>
    <row r="1008" ht="14.25" customHeight="1">
      <c r="A1008" s="5"/>
      <c r="B1008" s="2" t="s">
        <v>1120</v>
      </c>
      <c r="C1008" s="2">
        <v>14.0</v>
      </c>
      <c r="E1008" s="14" t="s">
        <v>80</v>
      </c>
      <c r="F1008" s="15" t="str">
        <f>IFERROR(__xludf.DUMMYFUNCTION("GOOGLETRANSLATE(B1008,""en"",""ar"")"),"مهارة")</f>
        <v>مهارة</v>
      </c>
    </row>
    <row r="1009" ht="14.25" customHeight="1">
      <c r="A1009" s="5"/>
      <c r="B1009" s="2" t="s">
        <v>1121</v>
      </c>
      <c r="C1009" s="2">
        <v>14.0</v>
      </c>
      <c r="E1009" s="14" t="s">
        <v>95</v>
      </c>
      <c r="F1009" s="15" t="str">
        <f>IFERROR(__xludf.DUMMYFUNCTION("GOOGLETRANSLATE(B1009,""en"",""ar"")"),"انتشار")</f>
        <v>انتشار</v>
      </c>
    </row>
    <row r="1010" ht="14.25" customHeight="1">
      <c r="A1010" s="5"/>
      <c r="B1010" s="2" t="s">
        <v>1122</v>
      </c>
      <c r="C1010" s="2">
        <v>14.0</v>
      </c>
      <c r="E1010" s="14" t="s">
        <v>95</v>
      </c>
      <c r="F1010" s="15" t="str">
        <f>IFERROR(__xludf.DUMMYFUNCTION("GOOGLETRANSLATE(B1010,""en"",""ar"")"),"ينبوع")</f>
        <v>ينبوع</v>
      </c>
    </row>
    <row r="1011" ht="14.25" customHeight="1">
      <c r="A1011" s="5"/>
      <c r="B1011" s="2" t="s">
        <v>1123</v>
      </c>
      <c r="C1011" s="2">
        <v>14.0</v>
      </c>
      <c r="E1011" s="14" t="s">
        <v>120</v>
      </c>
      <c r="F1011" s="15" t="str">
        <f>IFERROR(__xludf.DUMMYFUNCTION("GOOGLETRANSLATE(B1011,""en"",""ar"")"),"العاملين")</f>
        <v>العاملين</v>
      </c>
    </row>
    <row r="1012" ht="14.25" customHeight="1">
      <c r="A1012" s="5"/>
      <c r="B1012" s="2" t="s">
        <v>1124</v>
      </c>
      <c r="C1012" s="2">
        <v>14.0</v>
      </c>
      <c r="E1012" s="14" t="s">
        <v>80</v>
      </c>
      <c r="F1012" s="15" t="str">
        <f>IFERROR(__xludf.DUMMYFUNCTION("GOOGLETRANSLATE(B1012,""en"",""ar"")"),"بيان")</f>
        <v>بيان</v>
      </c>
    </row>
    <row r="1013" ht="14.25" customHeight="1">
      <c r="A1013" s="5"/>
      <c r="B1013" s="2" t="s">
        <v>1125</v>
      </c>
      <c r="C1013" s="2">
        <v>14.0</v>
      </c>
      <c r="E1013" s="14" t="s">
        <v>120</v>
      </c>
      <c r="F1013" s="15" t="str">
        <f>IFERROR(__xludf.DUMMYFUNCTION("GOOGLETRANSLATE(B1013,""en"",""ar"")"),"السكر")</f>
        <v>السكر</v>
      </c>
    </row>
    <row r="1014" ht="14.25" customHeight="1">
      <c r="A1014" s="5"/>
      <c r="B1014" s="2" t="s">
        <v>1126</v>
      </c>
      <c r="C1014" s="2">
        <v>14.0</v>
      </c>
      <c r="E1014" s="14" t="s">
        <v>120</v>
      </c>
      <c r="F1014" s="15" t="str">
        <f>IFERROR(__xludf.DUMMYFUNCTION("GOOGLETRANSLATE(B1014,""en"",""ar"")"),"استهداف")</f>
        <v>استهداف</v>
      </c>
    </row>
    <row r="1015" ht="14.25" customHeight="1">
      <c r="A1015" s="5"/>
      <c r="B1015" s="2" t="s">
        <v>1127</v>
      </c>
      <c r="C1015" s="2">
        <v>14.0</v>
      </c>
      <c r="E1015" s="14" t="s">
        <v>120</v>
      </c>
      <c r="F1015" s="15" t="str">
        <f>IFERROR(__xludf.DUMMYFUNCTION("GOOGLETRANSLATE(B1015,""en"",""ar"")"),"نص")</f>
        <v>نص</v>
      </c>
    </row>
    <row r="1016" ht="14.25" customHeight="1">
      <c r="A1016" s="5"/>
      <c r="B1016" s="2" t="s">
        <v>1128</v>
      </c>
      <c r="C1016" s="2">
        <v>14.0</v>
      </c>
      <c r="E1016" s="14" t="s">
        <v>236</v>
      </c>
      <c r="F1016" s="15" t="str">
        <f>IFERROR(__xludf.DUMMYFUNCTION("GOOGLETRANSLATE(B1016,""en"",""ar"")"),"قاسٍ")</f>
        <v>قاسٍ</v>
      </c>
    </row>
    <row r="1017" ht="14.25" customHeight="1">
      <c r="A1017" s="5"/>
      <c r="B1017" s="2" t="s">
        <v>1129</v>
      </c>
      <c r="C1017" s="2">
        <v>14.0</v>
      </c>
      <c r="E1017" s="14" t="s">
        <v>43</v>
      </c>
      <c r="F1017" s="15" t="str">
        <f>IFERROR(__xludf.DUMMYFUNCTION("GOOGLETRANSLATE(B1017,""en"",""ar"")"),"أخيرًا")</f>
        <v>أخيرًا</v>
      </c>
    </row>
    <row r="1018" ht="14.25" customHeight="1">
      <c r="A1018" s="5"/>
      <c r="B1018" s="2" t="s">
        <v>1130</v>
      </c>
      <c r="C1018" s="2">
        <v>14.0</v>
      </c>
      <c r="E1018" s="14" t="s">
        <v>95</v>
      </c>
      <c r="F1018" s="15" t="str">
        <f>IFERROR(__xludf.DUMMYFUNCTION("GOOGLETRANSLATE(B1018,""en"",""ar"")"),"انتظر")</f>
        <v>انتظر</v>
      </c>
    </row>
    <row r="1019" ht="14.25" customHeight="1">
      <c r="A1019" s="5"/>
      <c r="B1019" s="2" t="s">
        <v>1131</v>
      </c>
      <c r="C1019" s="2">
        <v>14.0</v>
      </c>
      <c r="E1019" s="14" t="s">
        <v>80</v>
      </c>
      <c r="F1019" s="15" t="str">
        <f>IFERROR(__xludf.DUMMYFUNCTION("GOOGLETRANSLATE(B1019,""en"",""ar"")"),"ثروة")</f>
        <v>ثروة</v>
      </c>
    </row>
    <row r="1020" ht="14.25" customHeight="1">
      <c r="A1020" s="5"/>
      <c r="B1020" s="2" t="s">
        <v>1132</v>
      </c>
      <c r="C1020" s="2">
        <v>14.0</v>
      </c>
      <c r="E1020" s="14" t="s">
        <v>278</v>
      </c>
      <c r="F1020" s="15" t="str">
        <f>IFERROR(__xludf.DUMMYFUNCTION("GOOGLETRANSLATE(B1020,""en"",""ar"")"),"كلما كان")</f>
        <v>كلما كان</v>
      </c>
    </row>
    <row r="1021" ht="14.25" customHeight="1">
      <c r="A1021" s="5"/>
      <c r="B1021" s="2" t="s">
        <v>1133</v>
      </c>
      <c r="C1021" s="2">
        <v>14.0</v>
      </c>
      <c r="E1021" s="14" t="s">
        <v>31</v>
      </c>
      <c r="F1021" s="15" t="str">
        <f>IFERROR(__xludf.DUMMYFUNCTION("GOOGLETRANSLATE(B1021,""en"",""ar"")"),"ملك من")</f>
        <v>ملك من</v>
      </c>
    </row>
    <row r="1022" ht="14.25" customHeight="1">
      <c r="A1022" s="5"/>
      <c r="B1022" s="2" t="s">
        <v>1134</v>
      </c>
      <c r="C1022" s="2">
        <v>14.0</v>
      </c>
      <c r="E1022" s="14" t="s">
        <v>43</v>
      </c>
      <c r="F1022" s="15" t="str">
        <f>IFERROR(__xludf.DUMMYFUNCTION("GOOGLETRANSLATE(B1022,""en"",""ar"")"),"على نطاق واسع")</f>
        <v>على نطاق واسع</v>
      </c>
    </row>
    <row r="1023" ht="14.25" customHeight="1">
      <c r="A1023" s="5"/>
      <c r="B1023" s="2" t="s">
        <v>1135</v>
      </c>
      <c r="C1023" s="2">
        <v>13.0</v>
      </c>
      <c r="E1023" s="14" t="s">
        <v>149</v>
      </c>
      <c r="F1023" s="15" t="str">
        <f>IFERROR(__xludf.DUMMYFUNCTION("GOOGLETRANSLATE(B1023,""en"",""ar"")"),"حيوان")</f>
        <v>حيوان</v>
      </c>
    </row>
    <row r="1024" ht="14.25" customHeight="1">
      <c r="A1024" s="5"/>
      <c r="B1024" s="2" t="s">
        <v>1136</v>
      </c>
      <c r="C1024" s="2">
        <v>13.0</v>
      </c>
      <c r="E1024" s="14" t="s">
        <v>80</v>
      </c>
      <c r="F1024" s="15" t="str">
        <f>IFERROR(__xludf.DUMMYFUNCTION("GOOGLETRANSLATE(B1024,""en"",""ar"")"),"طلب")</f>
        <v>طلب</v>
      </c>
    </row>
    <row r="1025" ht="14.25" customHeight="1">
      <c r="A1025" s="5"/>
      <c r="B1025" s="2" t="s">
        <v>1137</v>
      </c>
      <c r="C1025" s="2">
        <v>13.0</v>
      </c>
      <c r="E1025" s="14" t="s">
        <v>13</v>
      </c>
      <c r="F1025" s="15" t="str">
        <f>IFERROR(__xludf.DUMMYFUNCTION("GOOGLETRANSLATE(B1025,""en"",""ar"")"),"يتقدم")</f>
        <v>يتقدم</v>
      </c>
    </row>
    <row r="1026" ht="14.25" customHeight="1">
      <c r="A1026" s="5"/>
      <c r="B1026" s="2" t="s">
        <v>1138</v>
      </c>
      <c r="C1026" s="2">
        <v>13.0</v>
      </c>
      <c r="E1026" s="14" t="s">
        <v>120</v>
      </c>
      <c r="F1026" s="15" t="str">
        <f>IFERROR(__xludf.DUMMYFUNCTION("GOOGLETRANSLATE(B1026,""en"",""ar"")"),"مؤلف")</f>
        <v>مؤلف</v>
      </c>
    </row>
    <row r="1027" ht="14.25" customHeight="1">
      <c r="A1027" s="5"/>
      <c r="B1027" s="2" t="s">
        <v>1139</v>
      </c>
      <c r="C1027" s="2">
        <v>13.0</v>
      </c>
      <c r="E1027" s="14" t="s">
        <v>113</v>
      </c>
      <c r="F1027" s="15" t="str">
        <f>IFERROR(__xludf.DUMMYFUNCTION("GOOGLETRANSLATE(B1027,""en"",""ar"")"),"مدرك")</f>
        <v>مدرك</v>
      </c>
    </row>
    <row r="1028" ht="14.25" customHeight="1">
      <c r="A1028" s="5"/>
      <c r="B1028" s="2" t="s">
        <v>1140</v>
      </c>
      <c r="C1028" s="2">
        <v>13.0</v>
      </c>
      <c r="E1028" s="14" t="s">
        <v>406</v>
      </c>
      <c r="F1028" s="15" t="str">
        <f>IFERROR(__xludf.DUMMYFUNCTION("GOOGLETRANSLATE(B1028,""en"",""ar"")"),"بنى")</f>
        <v>بنى</v>
      </c>
    </row>
    <row r="1029" ht="14.25" customHeight="1">
      <c r="A1029" s="5"/>
      <c r="B1029" s="2" t="s">
        <v>1141</v>
      </c>
      <c r="C1029" s="2">
        <v>13.0</v>
      </c>
      <c r="E1029" s="14" t="s">
        <v>84</v>
      </c>
      <c r="F1029" s="15" t="str">
        <f>IFERROR(__xludf.DUMMYFUNCTION("GOOGLETRANSLATE(B1029,""en"",""ar"")"),"الدخل")</f>
        <v>الدخل</v>
      </c>
    </row>
    <row r="1030" ht="14.25" customHeight="1">
      <c r="A1030" s="5"/>
      <c r="B1030" s="2" t="s">
        <v>1142</v>
      </c>
      <c r="C1030" s="2">
        <v>13.0</v>
      </c>
      <c r="E1030" s="14" t="s">
        <v>51</v>
      </c>
      <c r="F1030" s="15" t="str">
        <f>IFERROR(__xludf.DUMMYFUNCTION("GOOGLETRANSLATE(B1030,""en"",""ar"")"),"رخيص")</f>
        <v>رخيص</v>
      </c>
    </row>
    <row r="1031" ht="14.25" customHeight="1">
      <c r="A1031" s="5"/>
      <c r="B1031" s="2" t="s">
        <v>1143</v>
      </c>
      <c r="C1031" s="2">
        <v>13.0</v>
      </c>
      <c r="E1031" s="14" t="s">
        <v>80</v>
      </c>
      <c r="F1031" s="15" t="str">
        <f>IFERROR(__xludf.DUMMYFUNCTION("GOOGLETRANSLATE(B1031,""en"",""ar"")"),"مدينة")</f>
        <v>مدينة</v>
      </c>
    </row>
    <row r="1032" ht="14.25" customHeight="1">
      <c r="A1032" s="5"/>
      <c r="B1032" s="2" t="s">
        <v>1144</v>
      </c>
      <c r="C1032" s="2">
        <v>13.0</v>
      </c>
      <c r="E1032" s="14" t="s">
        <v>88</v>
      </c>
      <c r="F1032" s="15" t="str">
        <f>IFERROR(__xludf.DUMMYFUNCTION("GOOGLETRANSLATE(B1032,""en"",""ar"")"),"معقد")</f>
        <v>معقد</v>
      </c>
    </row>
    <row r="1033" ht="14.25" customHeight="1">
      <c r="A1033" s="5"/>
      <c r="B1033" s="2" t="s">
        <v>1145</v>
      </c>
      <c r="C1033" s="2">
        <v>13.0</v>
      </c>
      <c r="E1033" s="14" t="s">
        <v>80</v>
      </c>
      <c r="F1033" s="15" t="str">
        <f>IFERROR(__xludf.DUMMYFUNCTION("GOOGLETRANSLATE(B1033,""en"",""ar"")"),"مقاطعة")</f>
        <v>مقاطعة</v>
      </c>
    </row>
    <row r="1034" ht="14.25" customHeight="1">
      <c r="A1034" s="5"/>
      <c r="B1034" s="2" t="s">
        <v>1146</v>
      </c>
      <c r="C1034" s="2">
        <v>13.0</v>
      </c>
      <c r="E1034" s="14" t="s">
        <v>78</v>
      </c>
      <c r="F1034" s="15" t="str">
        <f>IFERROR(__xludf.DUMMYFUNCTION("GOOGLETRANSLATE(B1034,""en"",""ar"")"),"عميق")</f>
        <v>عميق</v>
      </c>
    </row>
    <row r="1035" ht="14.25" customHeight="1">
      <c r="A1035" s="5"/>
      <c r="B1035" s="2" t="s">
        <v>1147</v>
      </c>
      <c r="C1035" s="2">
        <v>13.0</v>
      </c>
      <c r="E1035" s="14" t="s">
        <v>80</v>
      </c>
      <c r="F1035" s="15" t="str">
        <f>IFERROR(__xludf.DUMMYFUNCTION("GOOGLETRANSLATE(B1035,""en"",""ar"")"),"عمق")</f>
        <v>عمق</v>
      </c>
    </row>
    <row r="1036" ht="14.25" customHeight="1">
      <c r="A1036" s="5"/>
      <c r="B1036" s="2" t="s">
        <v>1148</v>
      </c>
      <c r="C1036" s="2">
        <v>13.0</v>
      </c>
      <c r="E1036" s="14" t="s">
        <v>129</v>
      </c>
      <c r="F1036" s="15" t="str">
        <f>IFERROR(__xludf.DUMMYFUNCTION("GOOGLETRANSLATE(B1036,""en"",""ar"")"),"تخفيض")</f>
        <v>تخفيض</v>
      </c>
    </row>
    <row r="1037" ht="14.25" customHeight="1">
      <c r="A1037" s="5"/>
      <c r="B1037" s="2" t="s">
        <v>1149</v>
      </c>
      <c r="C1037" s="2">
        <v>13.0</v>
      </c>
      <c r="E1037" s="14" t="s">
        <v>95</v>
      </c>
      <c r="F1037" s="15" t="str">
        <f>IFERROR(__xludf.DUMMYFUNCTION("GOOGLETRANSLATE(B1037,""en"",""ar"")"),"عرض")</f>
        <v>عرض</v>
      </c>
    </row>
    <row r="1038" ht="14.25" customHeight="1">
      <c r="A1038" s="5"/>
      <c r="B1038" s="2" t="s">
        <v>1150</v>
      </c>
      <c r="C1038" s="2">
        <v>13.0</v>
      </c>
      <c r="E1038" s="14" t="s">
        <v>113</v>
      </c>
      <c r="F1038" s="15" t="str">
        <f>IFERROR(__xludf.DUMMYFUNCTION("GOOGLETRANSLATE(B1038,""en"",""ar"")"),"تعليمية")</f>
        <v>تعليمية</v>
      </c>
    </row>
    <row r="1039" ht="14.25" customHeight="1">
      <c r="A1039" s="5"/>
      <c r="B1039" s="2" t="s">
        <v>1151</v>
      </c>
      <c r="C1039" s="2">
        <v>13.0</v>
      </c>
      <c r="E1039" s="14" t="s">
        <v>113</v>
      </c>
      <c r="F1039" s="15" t="str">
        <f>IFERROR(__xludf.DUMMYFUNCTION("GOOGLETRANSLATE(B1039,""en"",""ar"")"),"البيئة")</f>
        <v>البيئة</v>
      </c>
    </row>
    <row r="1040" ht="14.25" customHeight="1">
      <c r="A1040" s="5"/>
      <c r="B1040" s="2" t="s">
        <v>1152</v>
      </c>
      <c r="C1040" s="2">
        <v>13.0</v>
      </c>
      <c r="E1040" s="14" t="s">
        <v>80</v>
      </c>
      <c r="F1040" s="15" t="str">
        <f>IFERROR(__xludf.DUMMYFUNCTION("GOOGLETRANSLATE(B1040,""en"",""ar"")"),"ملكية")</f>
        <v>ملكية</v>
      </c>
    </row>
    <row r="1041" ht="14.25" customHeight="1">
      <c r="A1041" s="5"/>
      <c r="B1041" s="2" t="s">
        <v>1153</v>
      </c>
      <c r="C1041" s="2">
        <v>13.0</v>
      </c>
      <c r="E1041" s="14" t="s">
        <v>120</v>
      </c>
      <c r="F1041" s="15" t="str">
        <f>IFERROR(__xludf.DUMMYFUNCTION("GOOGLETRANSLATE(B1041,""en"",""ar"")"),"ملف")</f>
        <v>ملف</v>
      </c>
    </row>
    <row r="1042" ht="14.25" customHeight="1">
      <c r="A1042" s="5"/>
      <c r="B1042" s="2" t="s">
        <v>1154</v>
      </c>
      <c r="C1042" s="2">
        <v>13.0</v>
      </c>
      <c r="E1042" s="14" t="s">
        <v>95</v>
      </c>
      <c r="F1042" s="15" t="str">
        <f>IFERROR(__xludf.DUMMYFUNCTION("GOOGLETRANSLATE(B1042,""en"",""ar"")"),"تدفق")</f>
        <v>تدفق</v>
      </c>
    </row>
    <row r="1043" ht="14.25" customHeight="1">
      <c r="A1043" s="5"/>
      <c r="B1043" s="2" t="s">
        <v>1155</v>
      </c>
      <c r="C1043" s="2">
        <v>13.0</v>
      </c>
      <c r="E1043" s="14" t="s">
        <v>13</v>
      </c>
      <c r="F1043" s="15" t="str">
        <f>IFERROR(__xludf.DUMMYFUNCTION("GOOGLETRANSLATE(B1043,""en"",""ar"")"),"ننسى")</f>
        <v>ننسى</v>
      </c>
    </row>
    <row r="1044" ht="14.25" customHeight="1">
      <c r="A1044" s="5"/>
      <c r="B1044" s="2" t="s">
        <v>1156</v>
      </c>
      <c r="C1044" s="2">
        <v>13.0</v>
      </c>
      <c r="E1044" s="14" t="s">
        <v>80</v>
      </c>
      <c r="F1044" s="15" t="str">
        <f>IFERROR(__xludf.DUMMYFUNCTION("GOOGLETRANSLATE(B1044,""en"",""ar"")"),"المؤسسة")</f>
        <v>المؤسسة</v>
      </c>
    </row>
    <row r="1045" ht="14.25" customHeight="1">
      <c r="A1045" s="5"/>
      <c r="B1045" s="2" t="s">
        <v>1157</v>
      </c>
      <c r="C1045" s="2">
        <v>13.0</v>
      </c>
      <c r="E1045" s="14" t="s">
        <v>113</v>
      </c>
      <c r="F1045" s="15" t="str">
        <f>IFERROR(__xludf.DUMMYFUNCTION("GOOGLETRANSLATE(B1045,""en"",""ar"")"),"عالمي")</f>
        <v>عالمي</v>
      </c>
    </row>
    <row r="1046" ht="14.25" customHeight="1">
      <c r="A1046" s="5"/>
      <c r="B1046" s="2" t="s">
        <v>1158</v>
      </c>
      <c r="C1046" s="2">
        <v>13.0</v>
      </c>
      <c r="E1046" s="14" t="s">
        <v>80</v>
      </c>
      <c r="F1046" s="15" t="str">
        <f>IFERROR(__xludf.DUMMYFUNCTION("GOOGLETRANSLATE(B1046,""en"",""ar"")"),"جدة")</f>
        <v>جدة</v>
      </c>
    </row>
    <row r="1047" ht="14.25" customHeight="1">
      <c r="A1047" s="5"/>
      <c r="B1047" s="2" t="s">
        <v>1159</v>
      </c>
      <c r="C1047" s="2">
        <v>13.0</v>
      </c>
      <c r="E1047" s="14" t="s">
        <v>129</v>
      </c>
      <c r="F1047" s="15" t="str">
        <f>IFERROR(__xludf.DUMMYFUNCTION("GOOGLETRANSLATE(B1047,""en"",""ar"")"),"أرض")</f>
        <v>أرض</v>
      </c>
    </row>
    <row r="1048" ht="14.25" customHeight="1">
      <c r="A1048" s="5"/>
      <c r="B1048" s="2" t="s">
        <v>1160</v>
      </c>
      <c r="C1048" s="2">
        <v>13.0</v>
      </c>
      <c r="E1048" s="14" t="s">
        <v>80</v>
      </c>
      <c r="F1048" s="15" t="str">
        <f>IFERROR(__xludf.DUMMYFUNCTION("GOOGLETRANSLATE(B1048,""en"",""ar"")"),"قلب")</f>
        <v>قلب</v>
      </c>
    </row>
    <row r="1049" ht="14.25" customHeight="1">
      <c r="A1049" s="5"/>
      <c r="B1049" s="2" t="s">
        <v>1161</v>
      </c>
      <c r="C1049" s="2">
        <v>13.0</v>
      </c>
      <c r="E1049" s="14" t="s">
        <v>95</v>
      </c>
      <c r="F1049" s="15" t="str">
        <f>IFERROR(__xludf.DUMMYFUNCTION("GOOGLETRANSLATE(B1049,""en"",""ar"")"),"يضرب")</f>
        <v>يضرب</v>
      </c>
    </row>
    <row r="1050" ht="14.25" customHeight="1">
      <c r="A1050" s="5"/>
      <c r="B1050" s="2" t="s">
        <v>1162</v>
      </c>
      <c r="C1050" s="2">
        <v>13.0</v>
      </c>
      <c r="E1050" s="14" t="s">
        <v>113</v>
      </c>
      <c r="F1050" s="15" t="str">
        <f>IFERROR(__xludf.DUMMYFUNCTION("GOOGLETRANSLATE(B1050,""en"",""ar"")"),"قانوني")</f>
        <v>قانوني</v>
      </c>
    </row>
    <row r="1051" ht="14.25" customHeight="1">
      <c r="A1051" s="5"/>
      <c r="B1051" s="2" t="s">
        <v>1163</v>
      </c>
      <c r="C1051" s="2">
        <v>13.0</v>
      </c>
      <c r="E1051" s="14" t="s">
        <v>120</v>
      </c>
      <c r="F1051" s="15" t="str">
        <f>IFERROR(__xludf.DUMMYFUNCTION("GOOGLETRANSLATE(B1051,""en"",""ar"")"),"درس")</f>
        <v>درس</v>
      </c>
    </row>
    <row r="1052" ht="14.25" customHeight="1">
      <c r="A1052" s="5"/>
      <c r="B1052" s="2" t="s">
        <v>1164</v>
      </c>
      <c r="C1052" s="2">
        <v>13.0</v>
      </c>
      <c r="E1052" s="14" t="s">
        <v>84</v>
      </c>
      <c r="F1052" s="15" t="str">
        <f>IFERROR(__xludf.DUMMYFUNCTION("GOOGLETRANSLATE(B1052,""en"",""ar"")"),"اللحظة")</f>
        <v>اللحظة</v>
      </c>
    </row>
    <row r="1053" ht="14.25" customHeight="1">
      <c r="A1053" s="5"/>
      <c r="B1053" s="2" t="s">
        <v>1165</v>
      </c>
      <c r="C1053" s="2">
        <v>13.0</v>
      </c>
      <c r="E1053" s="14" t="s">
        <v>249</v>
      </c>
      <c r="F1053" s="15" t="str">
        <f>IFERROR(__xludf.DUMMYFUNCTION("GOOGLETRANSLATE(B1053,""en"",""ar"")"),"قرب")</f>
        <v>قرب</v>
      </c>
    </row>
    <row r="1054" ht="14.25" customHeight="1">
      <c r="A1054" s="5"/>
      <c r="B1054" s="2" t="s">
        <v>1166</v>
      </c>
      <c r="C1054" s="2">
        <v>13.0</v>
      </c>
      <c r="E1054" s="14" t="s">
        <v>236</v>
      </c>
      <c r="F1054" s="15" t="str">
        <f>IFERROR(__xludf.DUMMYFUNCTION("GOOGLETRANSLATE(B1054,""en"",""ar"")"),"هدف")</f>
        <v>هدف</v>
      </c>
    </row>
    <row r="1055" ht="14.25" customHeight="1">
      <c r="A1055" s="5"/>
      <c r="B1055" s="2" t="s">
        <v>1167</v>
      </c>
      <c r="C1055" s="2">
        <v>13.0</v>
      </c>
      <c r="E1055" s="14" t="s">
        <v>120</v>
      </c>
      <c r="F1055" s="15" t="str">
        <f>IFERROR(__xludf.DUMMYFUNCTION("GOOGLETRANSLATE(B1055,""en"",""ar"")"),"ضابط")</f>
        <v>ضابط</v>
      </c>
    </row>
    <row r="1056" ht="14.25" customHeight="1">
      <c r="A1056" s="5"/>
      <c r="B1056" s="2" t="s">
        <v>1168</v>
      </c>
      <c r="C1056" s="2">
        <v>13.0</v>
      </c>
      <c r="E1056" s="14" t="s">
        <v>80</v>
      </c>
      <c r="F1056" s="15" t="str">
        <f>IFERROR(__xludf.DUMMYFUNCTION("GOOGLETRANSLATE(B1056,""en"",""ar"")"),"إنطباع")</f>
        <v>إنطباع</v>
      </c>
    </row>
    <row r="1057" ht="14.25" customHeight="1">
      <c r="A1057" s="5"/>
      <c r="B1057" s="2" t="s">
        <v>1169</v>
      </c>
      <c r="C1057" s="2">
        <v>13.0</v>
      </c>
      <c r="E1057" s="14" t="s">
        <v>120</v>
      </c>
      <c r="F1057" s="15" t="str">
        <f>IFERROR(__xludf.DUMMYFUNCTION("GOOGLETRANSLATE(B1057,""en"",""ar"")"),"مرحلة")</f>
        <v>مرحلة</v>
      </c>
    </row>
    <row r="1058" ht="14.25" customHeight="1">
      <c r="A1058" s="5"/>
      <c r="B1058" s="2" t="s">
        <v>1170</v>
      </c>
      <c r="C1058" s="2">
        <v>13.0</v>
      </c>
      <c r="E1058" s="14" t="s">
        <v>80</v>
      </c>
      <c r="F1058" s="15" t="str">
        <f>IFERROR(__xludf.DUMMYFUNCTION("GOOGLETRANSLATE(B1058,""en"",""ar"")"),"صورة فوتوغرافية")</f>
        <v>صورة فوتوغرافية</v>
      </c>
    </row>
    <row r="1059" ht="14.25" customHeight="1">
      <c r="A1059" s="5"/>
      <c r="B1059" s="2" t="s">
        <v>1171</v>
      </c>
      <c r="C1059" s="2">
        <v>13.0</v>
      </c>
      <c r="E1059" s="14" t="s">
        <v>43</v>
      </c>
      <c r="F1059" s="15" t="str">
        <f>IFERROR(__xludf.DUMMYFUNCTION("GOOGLETRANSLATE(B1059,""en"",""ar"")"),"حديثاً")</f>
        <v>حديثاً</v>
      </c>
    </row>
    <row r="1060" ht="14.25" customHeight="1">
      <c r="A1060" s="5"/>
      <c r="B1060" s="2" t="s">
        <v>1172</v>
      </c>
      <c r="C1060" s="2">
        <v>13.0</v>
      </c>
      <c r="E1060" s="14" t="s">
        <v>80</v>
      </c>
      <c r="F1060" s="15" t="str">
        <f>IFERROR(__xludf.DUMMYFUNCTION("GOOGLETRANSLATE(B1060,""en"",""ar"")"),"وصفة")</f>
        <v>وصفة</v>
      </c>
    </row>
    <row r="1061" ht="14.25" customHeight="1">
      <c r="A1061" s="5"/>
      <c r="B1061" s="2" t="s">
        <v>1173</v>
      </c>
      <c r="C1061" s="2">
        <v>13.0</v>
      </c>
      <c r="E1061" s="14" t="s">
        <v>13</v>
      </c>
      <c r="F1061" s="15" t="str">
        <f>IFERROR(__xludf.DUMMYFUNCTION("GOOGLETRANSLATE(B1061,""en"",""ar"")"),"نوصي")</f>
        <v>نوصي</v>
      </c>
    </row>
    <row r="1062" ht="14.25" customHeight="1">
      <c r="A1062" s="5"/>
      <c r="B1062" s="2" t="s">
        <v>1174</v>
      </c>
      <c r="C1062" s="2">
        <v>13.0</v>
      </c>
      <c r="E1062" s="14" t="s">
        <v>129</v>
      </c>
      <c r="F1062" s="15" t="str">
        <f>IFERROR(__xludf.DUMMYFUNCTION("GOOGLETRANSLATE(B1062,""en"",""ar"")"),"المرجعي")</f>
        <v>المرجعي</v>
      </c>
    </row>
    <row r="1063" ht="14.25" customHeight="1">
      <c r="A1063" s="5"/>
      <c r="B1063" s="2" t="s">
        <v>1175</v>
      </c>
      <c r="C1063" s="2">
        <v>13.0</v>
      </c>
      <c r="E1063" s="14" t="s">
        <v>120</v>
      </c>
      <c r="F1063" s="15" t="str">
        <f>IFERROR(__xludf.DUMMYFUNCTION("GOOGLETRANSLATE(B1063,""en"",""ar"")"),"تسجيل")</f>
        <v>تسجيل</v>
      </c>
    </row>
    <row r="1064" ht="14.25" customHeight="1">
      <c r="A1064" s="5"/>
      <c r="B1064" s="2" t="s">
        <v>1176</v>
      </c>
      <c r="C1064" s="2">
        <v>13.0</v>
      </c>
      <c r="E1064" s="14" t="s">
        <v>113</v>
      </c>
      <c r="F1064" s="15" t="str">
        <f>IFERROR(__xludf.DUMMYFUNCTION("GOOGLETRANSLATE(B1064,""en"",""ar"")"),"ذو صلة")</f>
        <v>ذو صلة</v>
      </c>
    </row>
    <row r="1065" ht="14.25" customHeight="1">
      <c r="A1065" s="5"/>
      <c r="B1065" s="2" t="s">
        <v>1177</v>
      </c>
      <c r="C1065" s="2">
        <v>13.0</v>
      </c>
      <c r="E1065" s="14" t="s">
        <v>13</v>
      </c>
      <c r="F1065" s="15" t="str">
        <f>IFERROR(__xludf.DUMMYFUNCTION("GOOGLETRANSLATE(B1065,""en"",""ar"")"),"يعتمد")</f>
        <v>يعتمد</v>
      </c>
    </row>
    <row r="1066" ht="14.25" customHeight="1">
      <c r="A1066" s="5"/>
      <c r="B1066" s="2" t="s">
        <v>1178</v>
      </c>
      <c r="C1066" s="2">
        <v>13.0</v>
      </c>
      <c r="E1066" s="14" t="s">
        <v>180</v>
      </c>
      <c r="F1066" s="15" t="str">
        <f>IFERROR(__xludf.DUMMYFUNCTION("GOOGLETRANSLATE(B1066,""en"",""ar"")"),"يؤمن")</f>
        <v>يؤمن</v>
      </c>
    </row>
    <row r="1067" ht="14.25" customHeight="1">
      <c r="A1067" s="5"/>
      <c r="B1067" s="2" t="s">
        <v>1179</v>
      </c>
      <c r="C1067" s="2">
        <v>13.0</v>
      </c>
      <c r="E1067" s="14" t="s">
        <v>43</v>
      </c>
      <c r="F1067" s="15" t="str">
        <f>IFERROR(__xludf.DUMMYFUNCTION("GOOGLETRANSLATE(B1067,""en"",""ar"")"),"بشكل جاد")</f>
        <v>بشكل جاد</v>
      </c>
    </row>
    <row r="1068" ht="14.25" customHeight="1">
      <c r="A1068" s="5"/>
      <c r="B1068" s="2" t="s">
        <v>1180</v>
      </c>
      <c r="C1068" s="2">
        <v>13.0</v>
      </c>
      <c r="E1068" s="14" t="s">
        <v>171</v>
      </c>
      <c r="F1068" s="15" t="str">
        <f>IFERROR(__xludf.DUMMYFUNCTION("GOOGLETRANSLATE(B1068,""en"",""ar"")"),"أطلق النار")</f>
        <v>أطلق النار</v>
      </c>
    </row>
    <row r="1069" ht="14.25" customHeight="1">
      <c r="A1069" s="5"/>
      <c r="B1069" s="2" t="s">
        <v>1181</v>
      </c>
      <c r="C1069" s="2">
        <v>13.0</v>
      </c>
      <c r="E1069" s="14" t="s">
        <v>120</v>
      </c>
      <c r="F1069" s="15" t="str">
        <f>IFERROR(__xludf.DUMMYFUNCTION("GOOGLETRANSLATE(B1069,""en"",""ar"")"),"سماء")</f>
        <v>سماء</v>
      </c>
    </row>
    <row r="1070" ht="14.25" customHeight="1">
      <c r="A1070" s="5"/>
      <c r="B1070" s="2" t="s">
        <v>1182</v>
      </c>
      <c r="C1070" s="2">
        <v>13.0</v>
      </c>
      <c r="E1070" s="14" t="s">
        <v>120</v>
      </c>
      <c r="F1070" s="15" t="str">
        <f>IFERROR(__xludf.DUMMYFUNCTION("GOOGLETRANSLATE(B1070,""en"",""ar"")"),"المسرح")</f>
        <v>المسرح</v>
      </c>
    </row>
    <row r="1071" ht="14.25" customHeight="1">
      <c r="A1071" s="5"/>
      <c r="B1071" s="2" t="s">
        <v>1183</v>
      </c>
      <c r="C1071" s="2">
        <v>13.0</v>
      </c>
      <c r="E1071" s="14" t="s">
        <v>120</v>
      </c>
      <c r="F1071" s="15" t="str">
        <f>IFERROR(__xludf.DUMMYFUNCTION("GOOGLETRANSLATE(B1071,""en"",""ar"")"),"عصا")</f>
        <v>عصا</v>
      </c>
    </row>
    <row r="1072" ht="14.25" customHeight="1">
      <c r="A1072" s="5"/>
      <c r="B1072" s="2" t="s">
        <v>1184</v>
      </c>
      <c r="C1072" s="2">
        <v>13.0</v>
      </c>
      <c r="E1072" s="14" t="s">
        <v>80</v>
      </c>
      <c r="F1072" s="15" t="str">
        <f>IFERROR(__xludf.DUMMYFUNCTION("GOOGLETRANSLATE(B1072,""en"",""ar"")"),"الاستوديو")</f>
        <v>الاستوديو</v>
      </c>
    </row>
    <row r="1073" ht="14.25" customHeight="1">
      <c r="A1073" s="5"/>
      <c r="B1073" s="2" t="s">
        <v>1185</v>
      </c>
      <c r="C1073" s="2">
        <v>13.0</v>
      </c>
      <c r="E1073" s="14" t="s">
        <v>200</v>
      </c>
      <c r="F1073" s="15" t="str">
        <f>IFERROR(__xludf.DUMMYFUNCTION("GOOGLETRANSLATE(B1073,""en"",""ar"")"),"نحيف")</f>
        <v>نحيف</v>
      </c>
    </row>
    <row r="1074" ht="14.25" customHeight="1">
      <c r="A1074" s="5"/>
      <c r="B1074" s="2" t="s">
        <v>1186</v>
      </c>
      <c r="C1074" s="2">
        <v>13.0</v>
      </c>
      <c r="E1074" s="14" t="s">
        <v>120</v>
      </c>
      <c r="F1074" s="15" t="str">
        <f>IFERROR(__xludf.DUMMYFUNCTION("GOOGLETRANSLATE(B1074,""en"",""ar"")"),"لقب")</f>
        <v>لقب</v>
      </c>
    </row>
    <row r="1075" ht="14.25" customHeight="1">
      <c r="A1075" s="5"/>
      <c r="B1075" s="2" t="s">
        <v>1187</v>
      </c>
      <c r="C1075" s="2">
        <v>13.0</v>
      </c>
      <c r="E1075" s="14" t="s">
        <v>80</v>
      </c>
      <c r="F1075" s="15" t="str">
        <f>IFERROR(__xludf.DUMMYFUNCTION("GOOGLETRANSLATE(B1075,""en"",""ar"")"),"عنوان")</f>
        <v>عنوان</v>
      </c>
    </row>
    <row r="1076" ht="14.25" customHeight="1">
      <c r="A1076" s="5"/>
      <c r="B1076" s="2" t="s">
        <v>1188</v>
      </c>
      <c r="C1076" s="2">
        <v>13.0</v>
      </c>
      <c r="E1076" s="14" t="s">
        <v>95</v>
      </c>
      <c r="F1076" s="15" t="str">
        <f>IFERROR(__xludf.DUMMYFUNCTION("GOOGLETRANSLATE(B1076,""en"",""ar"")"),"يلمس")</f>
        <v>يلمس</v>
      </c>
    </row>
    <row r="1077" ht="14.25" customHeight="1">
      <c r="A1077" s="5"/>
      <c r="B1077" s="2" t="s">
        <v>1189</v>
      </c>
      <c r="C1077" s="2">
        <v>13.0</v>
      </c>
      <c r="E1077" s="14" t="s">
        <v>120</v>
      </c>
      <c r="F1077" s="15" t="str">
        <f>IFERROR(__xludf.DUMMYFUNCTION("GOOGLETRANSLATE(B1077,""en"",""ar"")"),"مشكلة")</f>
        <v>مشكلة</v>
      </c>
    </row>
    <row r="1078" ht="14.25" customHeight="1">
      <c r="A1078" s="5"/>
      <c r="B1078" s="2" t="s">
        <v>1190</v>
      </c>
      <c r="C1078" s="2">
        <v>13.0</v>
      </c>
      <c r="E1078" s="14" t="s">
        <v>13</v>
      </c>
      <c r="F1078" s="15" t="str">
        <f>IFERROR(__xludf.DUMMYFUNCTION("GOOGLETRANSLATE(B1078,""en"",""ar"")"),"يتغير")</f>
        <v>يتغير</v>
      </c>
    </row>
    <row r="1079" ht="14.25" customHeight="1">
      <c r="A1079" s="5"/>
      <c r="B1079" s="2" t="s">
        <v>1191</v>
      </c>
      <c r="C1079" s="2">
        <v>12.0</v>
      </c>
      <c r="E1079" s="14" t="s">
        <v>113</v>
      </c>
      <c r="F1079" s="15" t="str">
        <f>IFERROR(__xludf.DUMMYFUNCTION("GOOGLETRANSLATE(B1079,""en"",""ar"")"),"دقيق")</f>
        <v>دقيق</v>
      </c>
    </row>
    <row r="1080" ht="14.25" customHeight="1">
      <c r="A1080" s="5"/>
      <c r="B1080" s="2" t="s">
        <v>1192</v>
      </c>
      <c r="C1080" s="2">
        <v>12.0</v>
      </c>
      <c r="E1080" s="14" t="s">
        <v>1193</v>
      </c>
      <c r="F1080" s="15" t="str">
        <f>IFERROR(__xludf.DUMMYFUNCTION("GOOGLETRANSLATE(B1080,""en"",""ar"")"),"المتقدمة")</f>
        <v>المتقدمة</v>
      </c>
    </row>
    <row r="1081" ht="14.25" customHeight="1">
      <c r="A1081" s="5"/>
      <c r="B1081" s="2" t="s">
        <v>1194</v>
      </c>
      <c r="C1081" s="2">
        <v>12.0</v>
      </c>
      <c r="E1081" s="14" t="s">
        <v>120</v>
      </c>
      <c r="F1081" s="15" t="str">
        <f>IFERROR(__xludf.DUMMYFUNCTION("GOOGLETRANSLATE(B1081,""en"",""ar"")"),"صَحن")</f>
        <v>صَحن</v>
      </c>
    </row>
    <row r="1082" ht="14.25" customHeight="1">
      <c r="A1082" s="5"/>
      <c r="B1082" s="2" t="s">
        <v>1195</v>
      </c>
      <c r="C1082" s="2">
        <v>12.0</v>
      </c>
      <c r="E1082" s="14" t="s">
        <v>120</v>
      </c>
      <c r="F1082" s="15" t="str">
        <f>IFERROR(__xludf.DUMMYFUNCTION("GOOGLETRANSLATE(B1082,""en"",""ar"")"),"كوبري")</f>
        <v>كوبري</v>
      </c>
    </row>
    <row r="1083" ht="14.25" customHeight="1">
      <c r="A1083" s="5"/>
      <c r="B1083" s="2" t="s">
        <v>1196</v>
      </c>
      <c r="C1083" s="2">
        <v>12.0</v>
      </c>
      <c r="E1083" s="14" t="s">
        <v>120</v>
      </c>
      <c r="F1083" s="15" t="str">
        <f>IFERROR(__xludf.DUMMYFUNCTION("GOOGLETRANSLATE(B1083,""en"",""ar"")"),"الحملة الانتخابية")</f>
        <v>الحملة الانتخابية</v>
      </c>
    </row>
    <row r="1084" ht="14.25" customHeight="1">
      <c r="A1084" s="5"/>
      <c r="B1084" s="2" t="s">
        <v>1197</v>
      </c>
      <c r="C1084" s="2">
        <v>12.0</v>
      </c>
      <c r="E1084" s="14" t="s">
        <v>95</v>
      </c>
      <c r="F1084" s="15" t="str">
        <f>IFERROR(__xludf.DUMMYFUNCTION("GOOGLETRANSLATE(B1084,""en"",""ar"")"),"إلغاء")</f>
        <v>إلغاء</v>
      </c>
    </row>
    <row r="1085" ht="14.25" customHeight="1">
      <c r="A1085" s="5"/>
      <c r="B1085" s="2" t="s">
        <v>1198</v>
      </c>
      <c r="C1085" s="2">
        <v>12.0</v>
      </c>
      <c r="E1085" s="14" t="s">
        <v>113</v>
      </c>
      <c r="F1085" s="15" t="str">
        <f>IFERROR(__xludf.DUMMYFUNCTION("GOOGLETRANSLATE(B1085,""en"",""ar"")"),"قادر")</f>
        <v>قادر</v>
      </c>
    </row>
    <row r="1086" ht="14.25" customHeight="1">
      <c r="A1086" s="5"/>
      <c r="B1086" s="2" t="s">
        <v>1199</v>
      </c>
      <c r="C1086" s="2">
        <v>12.0</v>
      </c>
      <c r="E1086" s="14" t="s">
        <v>84</v>
      </c>
      <c r="F1086" s="15" t="str">
        <f>IFERROR(__xludf.DUMMYFUNCTION("GOOGLETRANSLATE(B1086,""en"",""ar"")"),"حرف")</f>
        <v>حرف</v>
      </c>
    </row>
    <row r="1087" ht="14.25" customHeight="1">
      <c r="A1087" s="5"/>
      <c r="B1087" s="2" t="s">
        <v>1200</v>
      </c>
      <c r="C1087" s="2">
        <v>12.0</v>
      </c>
      <c r="E1087" s="14" t="s">
        <v>236</v>
      </c>
      <c r="F1087" s="15" t="str">
        <f>IFERROR(__xludf.DUMMYFUNCTION("GOOGLETRANSLATE(B1087,""en"",""ar"")"),"المواد الكيميائية")</f>
        <v>المواد الكيميائية</v>
      </c>
    </row>
    <row r="1088" ht="14.25" customHeight="1">
      <c r="A1088" s="5"/>
      <c r="B1088" s="2" t="s">
        <v>1201</v>
      </c>
      <c r="C1088" s="2">
        <v>12.0</v>
      </c>
      <c r="E1088" s="14" t="s">
        <v>120</v>
      </c>
      <c r="F1088" s="15" t="str">
        <f>IFERROR(__xludf.DUMMYFUNCTION("GOOGLETRANSLATE(B1088,""en"",""ar"")"),"النادي")</f>
        <v>النادي</v>
      </c>
    </row>
    <row r="1089" ht="14.25" customHeight="1">
      <c r="A1089" s="5"/>
      <c r="B1089" s="2" t="s">
        <v>1202</v>
      </c>
      <c r="C1089" s="2">
        <v>12.0</v>
      </c>
      <c r="E1089" s="14" t="s">
        <v>80</v>
      </c>
      <c r="F1089" s="15" t="str">
        <f>IFERROR(__xludf.DUMMYFUNCTION("GOOGLETRANSLATE(B1089,""en"",""ar"")"),"مجموعة")</f>
        <v>مجموعة</v>
      </c>
    </row>
    <row r="1090" ht="14.25" customHeight="1">
      <c r="A1090" s="5"/>
      <c r="B1090" s="2" t="s">
        <v>1203</v>
      </c>
      <c r="C1090" s="2">
        <v>12.0</v>
      </c>
      <c r="E1090" s="14" t="s">
        <v>206</v>
      </c>
      <c r="F1090" s="15" t="str">
        <f>IFERROR(__xludf.DUMMYFUNCTION("GOOGLETRANSLATE(B1090,""en"",""ar"")"),"بارد")</f>
        <v>بارد</v>
      </c>
    </row>
    <row r="1091" ht="14.25" customHeight="1">
      <c r="A1091" s="5"/>
      <c r="B1091" s="2" t="s">
        <v>1204</v>
      </c>
      <c r="C1091" s="2">
        <v>12.0</v>
      </c>
      <c r="E1091" s="14" t="s">
        <v>1205</v>
      </c>
      <c r="F1091" s="15" t="str">
        <f>IFERROR(__xludf.DUMMYFUNCTION("GOOGLETRANSLATE(B1091,""en"",""ar"")"),"بكاء")</f>
        <v>بكاء</v>
      </c>
    </row>
    <row r="1092" ht="14.25" customHeight="1">
      <c r="A1092" s="5"/>
      <c r="B1092" s="2" t="s">
        <v>1206</v>
      </c>
      <c r="C1092" s="2">
        <v>12.0</v>
      </c>
      <c r="E1092" s="14" t="s">
        <v>113</v>
      </c>
      <c r="F1092" s="15" t="str">
        <f>IFERROR(__xludf.DUMMYFUNCTION("GOOGLETRANSLATE(B1092,""en"",""ar"")"),"خطير")</f>
        <v>خطير</v>
      </c>
    </row>
    <row r="1093" ht="14.25" customHeight="1">
      <c r="A1093" s="5"/>
      <c r="B1093" s="2" t="s">
        <v>1207</v>
      </c>
      <c r="C1093" s="2">
        <v>12.0</v>
      </c>
      <c r="E1093" s="14" t="s">
        <v>80</v>
      </c>
      <c r="F1093" s="15" t="str">
        <f>IFERROR(__xludf.DUMMYFUNCTION("GOOGLETRANSLATE(B1093,""en"",""ar"")"),"كآبة")</f>
        <v>كآبة</v>
      </c>
    </row>
    <row r="1094" ht="14.25" customHeight="1">
      <c r="A1094" s="5"/>
      <c r="B1094" s="2" t="s">
        <v>1208</v>
      </c>
      <c r="C1094" s="2">
        <v>12.0</v>
      </c>
      <c r="E1094" s="14" t="s">
        <v>1205</v>
      </c>
      <c r="F1094" s="15" t="str">
        <f>IFERROR(__xludf.DUMMYFUNCTION("GOOGLETRANSLATE(B1094,""en"",""ar"")"),"أحمق")</f>
        <v>أحمق</v>
      </c>
    </row>
    <row r="1095" ht="14.25" customHeight="1">
      <c r="A1095" s="5"/>
      <c r="B1095" s="2" t="s">
        <v>1209</v>
      </c>
      <c r="C1095" s="2">
        <v>12.0</v>
      </c>
      <c r="E1095" s="14" t="s">
        <v>1210</v>
      </c>
      <c r="F1095" s="15" t="str">
        <f>IFERROR(__xludf.DUMMYFUNCTION("GOOGLETRANSLATE(B1095,""en"",""ar"")"),"حافة")</f>
        <v>حافة</v>
      </c>
    </row>
    <row r="1096" ht="14.25" customHeight="1">
      <c r="A1096" s="5"/>
      <c r="B1096" s="2" t="s">
        <v>1211</v>
      </c>
      <c r="C1096" s="2">
        <v>12.0</v>
      </c>
      <c r="E1096" s="14" t="s">
        <v>1210</v>
      </c>
      <c r="F1096" s="15" t="str">
        <f>IFERROR(__xludf.DUMMYFUNCTION("GOOGLETRANSLATE(B1096,""en"",""ar"")"),"دليل")</f>
        <v>دليل</v>
      </c>
    </row>
    <row r="1097" ht="14.25" customHeight="1">
      <c r="A1097" s="5"/>
      <c r="B1097" s="2" t="s">
        <v>1212</v>
      </c>
      <c r="C1097" s="2">
        <v>12.0</v>
      </c>
      <c r="E1097" s="14" t="s">
        <v>236</v>
      </c>
      <c r="F1097" s="15" t="str">
        <f>IFERROR(__xludf.DUMMYFUNCTION("GOOGLETRANSLATE(B1097,""en"",""ar"")"),"شديد")</f>
        <v>شديد</v>
      </c>
    </row>
    <row r="1098" ht="14.25" customHeight="1">
      <c r="A1098" s="5"/>
      <c r="B1098" s="2" t="s">
        <v>1213</v>
      </c>
      <c r="C1098" s="2">
        <v>12.0</v>
      </c>
      <c r="E1098" s="14" t="s">
        <v>1210</v>
      </c>
      <c r="F1098" s="15" t="str">
        <f>IFERROR(__xludf.DUMMYFUNCTION("GOOGLETRANSLATE(B1098,""en"",""ar"")"),"المعجب")</f>
        <v>المعجب</v>
      </c>
    </row>
    <row r="1099" ht="14.25" customHeight="1">
      <c r="A1099" s="5"/>
      <c r="B1099" s="2" t="s">
        <v>1214</v>
      </c>
      <c r="C1099" s="2">
        <v>12.0</v>
      </c>
      <c r="E1099" s="14" t="s">
        <v>43</v>
      </c>
      <c r="F1099" s="15" t="str">
        <f>IFERROR(__xludf.DUMMYFUNCTION("GOOGLETRANSLATE(B1099,""en"",""ar"")"),"في كثير من الأحيان")</f>
        <v>في كثير من الأحيان</v>
      </c>
    </row>
    <row r="1100" ht="14.25" customHeight="1">
      <c r="A1100" s="5"/>
      <c r="B1100" s="2" t="s">
        <v>1215</v>
      </c>
      <c r="C1100" s="2">
        <v>12.0</v>
      </c>
      <c r="E1100" s="14" t="s">
        <v>43</v>
      </c>
      <c r="F1100" s="15" t="str">
        <f>IFERROR(__xludf.DUMMYFUNCTION("GOOGLETRANSLATE(B1100,""en"",""ar"")"),"تماما")</f>
        <v>تماما</v>
      </c>
    </row>
    <row r="1101" ht="14.25" customHeight="1">
      <c r="A1101" s="5"/>
      <c r="B1101" s="2" t="s">
        <v>1216</v>
      </c>
      <c r="C1101" s="2">
        <v>12.0</v>
      </c>
      <c r="E1101" s="14" t="s">
        <v>13</v>
      </c>
      <c r="F1101" s="15" t="str">
        <f>IFERROR(__xludf.DUMMYFUNCTION("GOOGLETRANSLATE(B1101,""en"",""ar"")"),"انشاء")</f>
        <v>انشاء</v>
      </c>
    </row>
    <row r="1102" ht="14.25" customHeight="1">
      <c r="A1102" s="5"/>
      <c r="B1102" s="2" t="s">
        <v>1217</v>
      </c>
      <c r="C1102" s="2">
        <v>12.0</v>
      </c>
      <c r="E1102" s="14" t="s">
        <v>80</v>
      </c>
      <c r="F1102" s="15" t="str">
        <f>IFERROR(__xludf.DUMMYFUNCTION("GOOGLETRANSLATE(B1102,""en"",""ar"")"),"خيال")</f>
        <v>خيال</v>
      </c>
    </row>
    <row r="1103" ht="14.25" customHeight="1">
      <c r="A1103" s="5"/>
      <c r="B1103" s="2" t="s">
        <v>1218</v>
      </c>
      <c r="C1103" s="2">
        <v>12.0</v>
      </c>
      <c r="E1103" s="14" t="s">
        <v>1210</v>
      </c>
      <c r="F1103" s="15" t="str">
        <f>IFERROR(__xludf.DUMMYFUNCTION("GOOGLETRANSLATE(B1103,""en"",""ar"")"),"رسالة")</f>
        <v>رسالة</v>
      </c>
    </row>
    <row r="1104" ht="14.25" customHeight="1">
      <c r="A1104" s="5"/>
      <c r="B1104" s="2" t="s">
        <v>1219</v>
      </c>
      <c r="C1104" s="2">
        <v>12.0</v>
      </c>
      <c r="E1104" s="14" t="s">
        <v>1210</v>
      </c>
      <c r="F1104" s="15" t="str">
        <f>IFERROR(__xludf.DUMMYFUNCTION("GOOGLETRANSLATE(B1104,""en"",""ar"")"),"قفل")</f>
        <v>قفل</v>
      </c>
    </row>
    <row r="1105" ht="14.25" customHeight="1">
      <c r="A1105" s="5"/>
      <c r="B1105" s="2" t="s">
        <v>1220</v>
      </c>
      <c r="C1105" s="2">
        <v>12.0</v>
      </c>
      <c r="E1105" s="14" t="s">
        <v>149</v>
      </c>
      <c r="F1105" s="15" t="str">
        <f>IFERROR(__xludf.DUMMYFUNCTION("GOOGLETRANSLATE(B1105,""en"",""ar"")"),"أقصى")</f>
        <v>أقصى</v>
      </c>
    </row>
    <row r="1106" ht="14.25" customHeight="1">
      <c r="A1106" s="5"/>
      <c r="B1106" s="2" t="s">
        <v>1221</v>
      </c>
      <c r="C1106" s="2">
        <v>12.0</v>
      </c>
      <c r="E1106" s="14" t="s">
        <v>43</v>
      </c>
      <c r="F1106" s="15" t="str">
        <f>IFERROR(__xludf.DUMMYFUNCTION("GOOGLETRANSLATE(B1106,""en"",""ar"")"),"خاصة")</f>
        <v>خاصة</v>
      </c>
    </row>
    <row r="1107" ht="14.25" customHeight="1">
      <c r="A1107" s="5"/>
      <c r="B1107" s="2" t="s">
        <v>1222</v>
      </c>
      <c r="C1107" s="2">
        <v>12.0</v>
      </c>
      <c r="E1107" s="14" t="s">
        <v>31</v>
      </c>
      <c r="F1107" s="15" t="str">
        <f>IFERROR(__xludf.DUMMYFUNCTION("GOOGLETRANSLATE(B1107,""en"",""ar"")"),"نفسي")</f>
        <v>نفسي</v>
      </c>
    </row>
    <row r="1108" ht="14.25" customHeight="1">
      <c r="A1108" s="5"/>
      <c r="B1108" s="2" t="s">
        <v>1223</v>
      </c>
      <c r="C1108" s="2">
        <v>12.0</v>
      </c>
      <c r="E1108" s="14" t="s">
        <v>43</v>
      </c>
      <c r="F1108" s="15" t="str">
        <f>IFERROR(__xludf.DUMMYFUNCTION("GOOGLETRANSLATE(B1108,""en"",""ar"")"),"بطبيعة الحال")</f>
        <v>بطبيعة الحال</v>
      </c>
    </row>
    <row r="1109" ht="14.25" customHeight="1">
      <c r="A1109" s="5"/>
      <c r="B1109" s="2" t="s">
        <v>1224</v>
      </c>
      <c r="C1109" s="2">
        <v>12.0</v>
      </c>
      <c r="E1109" s="14" t="s">
        <v>43</v>
      </c>
      <c r="F1109" s="15" t="str">
        <f>IFERROR(__xludf.DUMMYFUNCTION("GOOGLETRANSLATE(B1109,""en"",""ar"")"),"تقريبا")</f>
        <v>تقريبا</v>
      </c>
    </row>
    <row r="1110" ht="14.25" customHeight="1">
      <c r="A1110" s="5"/>
      <c r="B1110" s="2" t="s">
        <v>1225</v>
      </c>
      <c r="C1110" s="2">
        <v>12.0</v>
      </c>
      <c r="E1110" s="14" t="s">
        <v>149</v>
      </c>
      <c r="F1110" s="15" t="str">
        <f>IFERROR(__xludf.DUMMYFUNCTION("GOOGLETRANSLATE(B1110,""en"",""ar"")"),"رواية")</f>
        <v>رواية</v>
      </c>
    </row>
    <row r="1111" ht="14.25" customHeight="1">
      <c r="A1111" s="5"/>
      <c r="B1111" s="2" t="s">
        <v>1226</v>
      </c>
      <c r="C1111" s="2">
        <v>12.0</v>
      </c>
      <c r="E1111" s="14" t="s">
        <v>13</v>
      </c>
      <c r="F1111" s="15" t="str">
        <f>IFERROR(__xludf.DUMMYFUNCTION("GOOGLETRANSLATE(B1111,""en"",""ar"")"),"الحصول على")</f>
        <v>الحصول على</v>
      </c>
    </row>
    <row r="1112" ht="14.25" customHeight="1">
      <c r="A1112" s="5"/>
      <c r="B1112" s="2" t="s">
        <v>1227</v>
      </c>
      <c r="C1112" s="2">
        <v>12.0</v>
      </c>
      <c r="E1112" s="14" t="s">
        <v>43</v>
      </c>
      <c r="F1112" s="15" t="str">
        <f>IFERROR(__xludf.DUMMYFUNCTION("GOOGLETRANSLATE(B1112,""en"",""ar"")"),"من حين اخر")</f>
        <v>من حين اخر</v>
      </c>
    </row>
    <row r="1113" ht="14.25" customHeight="1">
      <c r="A1113" s="5"/>
      <c r="B1113" s="2" t="s">
        <v>1228</v>
      </c>
      <c r="C1113" s="2">
        <v>12.0</v>
      </c>
      <c r="E1113" s="14" t="s">
        <v>120</v>
      </c>
      <c r="F1113" s="15" t="str">
        <f>IFERROR(__xludf.DUMMYFUNCTION("GOOGLETRANSLATE(B1113,""en"",""ar"")"),"اختيار")</f>
        <v>اختيار</v>
      </c>
    </row>
    <row r="1114" ht="14.25" customHeight="1">
      <c r="A1114" s="5"/>
      <c r="B1114" s="2" t="s">
        <v>1229</v>
      </c>
      <c r="C1114" s="2">
        <v>12.0</v>
      </c>
      <c r="E1114" s="14" t="s">
        <v>88</v>
      </c>
      <c r="F1114" s="15" t="str">
        <f>IFERROR(__xludf.DUMMYFUNCTION("GOOGLETRANSLATE(B1114,""en"",""ar"")"),"منظم")</f>
        <v>منظم</v>
      </c>
    </row>
    <row r="1115" ht="14.25" customHeight="1">
      <c r="A1115" s="5"/>
      <c r="B1115" s="2" t="s">
        <v>1230</v>
      </c>
      <c r="C1115" s="2">
        <v>12.0</v>
      </c>
      <c r="E1115" s="14" t="s">
        <v>1231</v>
      </c>
      <c r="F1115" s="15" t="str">
        <f>IFERROR(__xludf.DUMMYFUNCTION("GOOGLETRANSLATE(B1115,""en"",""ar"")"),"علية")</f>
        <v>علية</v>
      </c>
    </row>
    <row r="1116" ht="14.25" customHeight="1">
      <c r="A1116" s="5"/>
      <c r="B1116" s="2" t="s">
        <v>1232</v>
      </c>
      <c r="C1116" s="2">
        <v>12.0</v>
      </c>
      <c r="E1116" s="14" t="s">
        <v>120</v>
      </c>
      <c r="F1116" s="15" t="str">
        <f>IFERROR(__xludf.DUMMYFUNCTION("GOOGLETRANSLATE(B1116,""en"",""ar"")"),"منتزه")</f>
        <v>منتزه</v>
      </c>
    </row>
    <row r="1117" ht="14.25" customHeight="1">
      <c r="A1117" s="5"/>
      <c r="B1117" s="2" t="s">
        <v>1233</v>
      </c>
      <c r="C1117" s="2">
        <v>12.0</v>
      </c>
      <c r="E1117" s="14" t="s">
        <v>80</v>
      </c>
      <c r="F1117" s="15" t="str">
        <f>IFERROR(__xludf.DUMMYFUNCTION("GOOGLETRANSLATE(B1117,""en"",""ar"")"),"شغف")</f>
        <v>شغف</v>
      </c>
    </row>
    <row r="1118" ht="14.25" customHeight="1">
      <c r="A1118" s="5"/>
      <c r="B1118" s="2" t="s">
        <v>1234</v>
      </c>
      <c r="C1118" s="2">
        <v>12.0</v>
      </c>
      <c r="E1118" s="14" t="s">
        <v>80</v>
      </c>
      <c r="F1118" s="15" t="str">
        <f>IFERROR(__xludf.DUMMYFUNCTION("GOOGLETRANSLATE(B1118,""en"",""ar"")"),"النسبة المئوية")</f>
        <v>النسبة المئوية</v>
      </c>
    </row>
    <row r="1119" ht="14.25" customHeight="1">
      <c r="A1119" s="5"/>
      <c r="B1119" s="2" t="s">
        <v>1235</v>
      </c>
      <c r="C1119" s="2">
        <v>12.0</v>
      </c>
      <c r="E1119" s="14" t="s">
        <v>908</v>
      </c>
      <c r="F1119" s="15" t="str">
        <f>IFERROR(__xludf.DUMMYFUNCTION("GOOGLETRANSLATE(B1119,""en"",""ar"")"),"وفرة")</f>
        <v>وفرة</v>
      </c>
    </row>
    <row r="1120" ht="14.25" customHeight="1">
      <c r="A1120" s="5"/>
      <c r="B1120" s="2" t="s">
        <v>1236</v>
      </c>
      <c r="C1120" s="2">
        <v>12.0</v>
      </c>
      <c r="E1120" s="14" t="s">
        <v>1205</v>
      </c>
      <c r="F1120" s="15" t="str">
        <f>IFERROR(__xludf.DUMMYFUNCTION("GOOGLETRANSLATE(B1120,""en"",""ar"")"),"يدفع")</f>
        <v>يدفع</v>
      </c>
    </row>
    <row r="1121" ht="14.25" customHeight="1">
      <c r="A1121" s="5"/>
      <c r="B1121" s="2" t="s">
        <v>1237</v>
      </c>
      <c r="C1121" s="2">
        <v>12.0</v>
      </c>
      <c r="E1121" s="14" t="s">
        <v>129</v>
      </c>
      <c r="F1121" s="15" t="str">
        <f>IFERROR(__xludf.DUMMYFUNCTION("GOOGLETRANSLATE(B1121,""en"",""ar"")"),"ربع")</f>
        <v>ربع</v>
      </c>
    </row>
    <row r="1122" ht="14.25" customHeight="1">
      <c r="A1122" s="5"/>
      <c r="B1122" s="2" t="s">
        <v>1238</v>
      </c>
      <c r="C1122" s="2">
        <v>12.0</v>
      </c>
      <c r="E1122" s="14" t="s">
        <v>80</v>
      </c>
      <c r="F1122" s="15" t="str">
        <f>IFERROR(__xludf.DUMMYFUNCTION("GOOGLETRANSLATE(B1122,""en"",""ar"")"),"مورد")</f>
        <v>مورد</v>
      </c>
    </row>
    <row r="1123" ht="14.25" customHeight="1">
      <c r="A1123" s="5"/>
      <c r="B1123" s="2" t="s">
        <v>1239</v>
      </c>
      <c r="C1123" s="2">
        <v>12.0</v>
      </c>
      <c r="E1123" s="14" t="s">
        <v>644</v>
      </c>
      <c r="F1123" s="15" t="str">
        <f>IFERROR(__xludf.DUMMYFUNCTION("GOOGLETRANSLATE(B1123,""en"",""ar"")"),"تحديد")</f>
        <v>تحديد</v>
      </c>
    </row>
    <row r="1124" ht="14.25" customHeight="1">
      <c r="A1124" s="5"/>
      <c r="B1124" s="2" t="s">
        <v>1240</v>
      </c>
      <c r="C1124" s="2">
        <v>12.0</v>
      </c>
      <c r="E1124" s="14" t="s">
        <v>80</v>
      </c>
      <c r="F1124" s="15" t="str">
        <f>IFERROR(__xludf.DUMMYFUNCTION("GOOGLETRANSLATE(B1124,""en"",""ar"")"),"ضبط")</f>
        <v>ضبط</v>
      </c>
    </row>
    <row r="1125" ht="14.25" customHeight="1">
      <c r="A1125" s="5"/>
      <c r="B1125" s="2" t="s">
        <v>1241</v>
      </c>
      <c r="C1125" s="2">
        <v>12.0</v>
      </c>
      <c r="E1125" s="14" t="s">
        <v>120</v>
      </c>
      <c r="F1125" s="15" t="str">
        <f>IFERROR(__xludf.DUMMYFUNCTION("GOOGLETRANSLATE(B1125,""en"",""ar"")"),"جلد")</f>
        <v>جلد</v>
      </c>
    </row>
    <row r="1126" ht="14.25" customHeight="1">
      <c r="A1126" s="5"/>
      <c r="B1126" s="2" t="s">
        <v>1242</v>
      </c>
      <c r="C1126" s="2">
        <v>12.0</v>
      </c>
      <c r="E1126" s="14" t="s">
        <v>120</v>
      </c>
      <c r="F1126" s="15" t="str">
        <f>IFERROR(__xludf.DUMMYFUNCTION("GOOGLETRANSLATE(B1126,""en"",""ar"")"),"فرز")</f>
        <v>فرز</v>
      </c>
    </row>
    <row r="1127" ht="14.25" customHeight="1">
      <c r="A1127" s="5"/>
      <c r="B1127" s="2" t="s">
        <v>1243</v>
      </c>
      <c r="C1127" s="2">
        <v>12.0</v>
      </c>
      <c r="E1127" s="14" t="s">
        <v>120</v>
      </c>
      <c r="F1127" s="15" t="str">
        <f>IFERROR(__xludf.DUMMYFUNCTION("GOOGLETRANSLATE(B1127,""en"",""ar"")"),"وزن")</f>
        <v>وزن</v>
      </c>
    </row>
    <row r="1128" ht="14.25" customHeight="1">
      <c r="A1128" s="5"/>
      <c r="B1128" s="2" t="s">
        <v>1244</v>
      </c>
      <c r="C1128" s="2">
        <v>11.0</v>
      </c>
      <c r="E1128" s="14" t="s">
        <v>13</v>
      </c>
      <c r="F1128" s="15" t="str">
        <f>IFERROR(__xludf.DUMMYFUNCTION("GOOGLETRANSLATE(B1128,""en"",""ar"")"),"قبول")</f>
        <v>قبول</v>
      </c>
    </row>
    <row r="1129" ht="14.25" customHeight="1">
      <c r="A1129" s="5"/>
      <c r="B1129" s="2" t="s">
        <v>1245</v>
      </c>
      <c r="C1129" s="2">
        <v>11.0</v>
      </c>
      <c r="E1129" s="14" t="s">
        <v>80</v>
      </c>
      <c r="F1129" s="15" t="str">
        <f>IFERROR(__xludf.DUMMYFUNCTION("GOOGLETRANSLATE(B1129,""en"",""ar"")"),"ميلادي")</f>
        <v>ميلادي</v>
      </c>
    </row>
    <row r="1130" ht="14.25" customHeight="1">
      <c r="A1130" s="5"/>
      <c r="B1130" s="2" t="s">
        <v>1246</v>
      </c>
      <c r="C1130" s="2">
        <v>11.0</v>
      </c>
      <c r="E1130" s="14" t="s">
        <v>80</v>
      </c>
      <c r="F1130" s="15" t="str">
        <f>IFERROR(__xludf.DUMMYFUNCTION("GOOGLETRANSLATE(B1130,""en"",""ar"")"),"وكالة")</f>
        <v>وكالة</v>
      </c>
    </row>
    <row r="1131" ht="14.25" customHeight="1">
      <c r="A1131" s="5"/>
      <c r="B1131" s="2" t="s">
        <v>1247</v>
      </c>
      <c r="C1131" s="2">
        <v>11.0</v>
      </c>
      <c r="E1131" s="14" t="s">
        <v>129</v>
      </c>
      <c r="F1131" s="15" t="str">
        <f>IFERROR(__xludf.DUMMYFUNCTION("GOOGLETRANSLATE(B1131,""en"",""ar"")"),"طفل")</f>
        <v>طفل</v>
      </c>
    </row>
    <row r="1132" ht="14.25" customHeight="1">
      <c r="A1132" s="5"/>
      <c r="B1132" s="2" t="s">
        <v>1248</v>
      </c>
      <c r="C1132" s="2">
        <v>11.0</v>
      </c>
      <c r="E1132" s="14" t="s">
        <v>149</v>
      </c>
      <c r="F1132" s="15" t="str">
        <f>IFERROR(__xludf.DUMMYFUNCTION("GOOGLETRANSLATE(B1132,""en"",""ar"")"),"معرفتي")</f>
        <v>معرفتي</v>
      </c>
    </row>
    <row r="1133" ht="14.25" customHeight="1">
      <c r="A1133" s="5"/>
      <c r="B1133" s="2" t="s">
        <v>1249</v>
      </c>
      <c r="C1133" s="2">
        <v>11.0</v>
      </c>
      <c r="E1133" s="14" t="s">
        <v>43</v>
      </c>
      <c r="F1133" s="15" t="str">
        <f>IFERROR(__xludf.DUMMYFUNCTION("GOOGLETRANSLATE(B1133,""en"",""ar"")"),"بحرص")</f>
        <v>بحرص</v>
      </c>
    </row>
    <row r="1134" ht="14.25" customHeight="1">
      <c r="A1134" s="5"/>
      <c r="B1134" s="2" t="s">
        <v>1250</v>
      </c>
      <c r="C1134" s="2">
        <v>11.0</v>
      </c>
      <c r="E1134" s="14" t="s">
        <v>120</v>
      </c>
      <c r="F1134" s="15" t="str">
        <f>IFERROR(__xludf.DUMMYFUNCTION("GOOGLETRANSLATE(B1134,""en"",""ar"")"),"احمل")</f>
        <v>احمل</v>
      </c>
    </row>
    <row r="1135" ht="14.25" customHeight="1">
      <c r="A1135" s="5"/>
      <c r="B1135" s="2" t="s">
        <v>1251</v>
      </c>
      <c r="C1135" s="2">
        <v>11.0</v>
      </c>
      <c r="E1135" s="14" t="s">
        <v>43</v>
      </c>
      <c r="F1135" s="15" t="str">
        <f>IFERROR(__xludf.DUMMYFUNCTION("GOOGLETRANSLATE(B1135,""en"",""ar"")"),"بوضوح")</f>
        <v>بوضوح</v>
      </c>
    </row>
    <row r="1136" ht="14.25" customHeight="1">
      <c r="A1136" s="5"/>
      <c r="B1136" s="2" t="s">
        <v>1252</v>
      </c>
      <c r="C1136" s="2">
        <v>11.0</v>
      </c>
      <c r="E1136" s="14" t="s">
        <v>80</v>
      </c>
      <c r="F1136" s="15" t="str">
        <f>IFERROR(__xludf.DUMMYFUNCTION("GOOGLETRANSLATE(B1136,""en"",""ar"")"),"كلية")</f>
        <v>كلية</v>
      </c>
    </row>
    <row r="1137" ht="14.25" customHeight="1">
      <c r="A1137" s="5"/>
      <c r="B1137" s="2" t="s">
        <v>1253</v>
      </c>
      <c r="C1137" s="2">
        <v>11.0</v>
      </c>
      <c r="E1137" s="14" t="s">
        <v>13</v>
      </c>
      <c r="F1137" s="15" t="str">
        <f>IFERROR(__xludf.DUMMYFUNCTION("GOOGLETRANSLATE(B1137,""en"",""ar"")"),"يتواصل")</f>
        <v>يتواصل</v>
      </c>
    </row>
    <row r="1138" ht="14.25" customHeight="1">
      <c r="A1138" s="5"/>
      <c r="B1138" s="2" t="s">
        <v>1254</v>
      </c>
      <c r="C1138" s="2">
        <v>11.0</v>
      </c>
      <c r="E1138" s="14" t="s">
        <v>13</v>
      </c>
      <c r="F1138" s="15" t="str">
        <f>IFERROR(__xludf.DUMMYFUNCTION("GOOGLETRANSLATE(B1138,""en"",""ar"")"),"تذمر")</f>
        <v>تذمر</v>
      </c>
    </row>
    <row r="1139" ht="14.25" customHeight="1">
      <c r="A1139" s="5"/>
      <c r="B1139" s="2" t="s">
        <v>1255</v>
      </c>
      <c r="C1139" s="2">
        <v>11.0</v>
      </c>
      <c r="E1139" s="14" t="s">
        <v>95</v>
      </c>
      <c r="F1139" s="15" t="str">
        <f>IFERROR(__xludf.DUMMYFUNCTION("GOOGLETRANSLATE(B1139,""en"",""ar"")"),"نزاع")</f>
        <v>نزاع</v>
      </c>
    </row>
    <row r="1140" ht="14.25" customHeight="1">
      <c r="A1140" s="5"/>
      <c r="B1140" s="2" t="s">
        <v>1256</v>
      </c>
      <c r="C1140" s="2">
        <v>11.0</v>
      </c>
      <c r="E1140" s="14" t="s">
        <v>80</v>
      </c>
      <c r="F1140" s="15" t="str">
        <f>IFERROR(__xludf.DUMMYFUNCTION("GOOGLETRANSLATE(B1140,""en"",""ar"")"),"الإتصال")</f>
        <v>الإتصال</v>
      </c>
    </row>
    <row r="1141" ht="14.25" customHeight="1">
      <c r="A1141" s="5"/>
      <c r="B1141" s="2" t="s">
        <v>1257</v>
      </c>
      <c r="C1141" s="2">
        <v>11.0</v>
      </c>
      <c r="E1141" s="14" t="s">
        <v>80</v>
      </c>
      <c r="F1141" s="15" t="str">
        <f>IFERROR(__xludf.DUMMYFUNCTION("GOOGLETRANSLATE(B1141,""en"",""ar"")"),"نقد")</f>
        <v>نقد</v>
      </c>
    </row>
    <row r="1142" ht="14.25" customHeight="1">
      <c r="A1142" s="5"/>
      <c r="B1142" s="2" t="s">
        <v>1258</v>
      </c>
      <c r="C1142" s="2">
        <v>11.0</v>
      </c>
      <c r="E1142" s="14" t="s">
        <v>80</v>
      </c>
      <c r="F1142" s="15" t="str">
        <f>IFERROR(__xludf.DUMMYFUNCTION("GOOGLETRANSLATE(B1142,""en"",""ar"")"),"دَين")</f>
        <v>دَين</v>
      </c>
    </row>
    <row r="1143" ht="14.25" customHeight="1">
      <c r="A1143" s="5"/>
      <c r="B1143" s="2" t="s">
        <v>1259</v>
      </c>
      <c r="C1143" s="2">
        <v>11.0</v>
      </c>
      <c r="E1143" s="14" t="s">
        <v>13</v>
      </c>
      <c r="F1143" s="15" t="str">
        <f>IFERROR(__xludf.DUMMYFUNCTION("GOOGLETRANSLATE(B1143,""en"",""ar"")"),"تعتمد")</f>
        <v>تعتمد</v>
      </c>
    </row>
    <row r="1144" ht="14.25" customHeight="1">
      <c r="A1144" s="5"/>
      <c r="B1144" s="2" t="s">
        <v>1260</v>
      </c>
      <c r="C1144" s="2">
        <v>11.0</v>
      </c>
      <c r="E1144" s="14" t="s">
        <v>80</v>
      </c>
      <c r="F1144" s="15" t="str">
        <f>IFERROR(__xludf.DUMMYFUNCTION("GOOGLETRANSLATE(B1144,""en"",""ar"")"),"وصف")</f>
        <v>وصف</v>
      </c>
    </row>
    <row r="1145" ht="14.25" customHeight="1">
      <c r="A1145" s="5"/>
      <c r="B1145" s="2" t="s">
        <v>1261</v>
      </c>
      <c r="C1145" s="2">
        <v>11.0</v>
      </c>
      <c r="E1145" s="14" t="s">
        <v>1262</v>
      </c>
      <c r="F1145" s="15" t="str">
        <f>IFERROR(__xludf.DUMMYFUNCTION("GOOGLETRANSLATE(B1145,""en"",""ar"")"),"موت")</f>
        <v>موت</v>
      </c>
    </row>
    <row r="1146" ht="14.25" customHeight="1">
      <c r="A1146" s="5"/>
      <c r="B1146" s="2" t="s">
        <v>1263</v>
      </c>
      <c r="C1146" s="2">
        <v>11.0</v>
      </c>
      <c r="E1146" s="14" t="s">
        <v>1210</v>
      </c>
      <c r="F1146" s="15" t="str">
        <f>IFERROR(__xludf.DUMMYFUNCTION("GOOGLETRANSLATE(B1146,""en"",""ar"")"),"طبق")</f>
        <v>طبق</v>
      </c>
    </row>
    <row r="1147" ht="14.25" customHeight="1">
      <c r="A1147" s="5"/>
      <c r="B1147" s="2" t="s">
        <v>1264</v>
      </c>
      <c r="C1147" s="2">
        <v>11.0</v>
      </c>
      <c r="E1147" s="14" t="s">
        <v>113</v>
      </c>
      <c r="F1147" s="15" t="str">
        <f>IFERROR(__xludf.DUMMYFUNCTION("GOOGLETRANSLATE(B1147,""en"",""ar"")"),"دراماتيكي")</f>
        <v>دراماتيكي</v>
      </c>
    </row>
    <row r="1148" ht="14.25" customHeight="1">
      <c r="A1148" s="5"/>
      <c r="B1148" s="2" t="s">
        <v>1265</v>
      </c>
      <c r="C1148" s="2">
        <v>11.0</v>
      </c>
      <c r="E1148" s="14" t="s">
        <v>1205</v>
      </c>
      <c r="F1148" s="15" t="str">
        <f>IFERROR(__xludf.DUMMYFUNCTION("GOOGLETRANSLATE(B1148,""en"",""ar"")"),"تأكل")</f>
        <v>تأكل</v>
      </c>
    </row>
    <row r="1149" ht="14.25" customHeight="1">
      <c r="A1149" s="5"/>
      <c r="B1149" s="2" t="s">
        <v>1266</v>
      </c>
      <c r="C1149" s="2">
        <v>11.0</v>
      </c>
      <c r="E1149" s="14" t="s">
        <v>113</v>
      </c>
      <c r="F1149" s="15" t="str">
        <f>IFERROR(__xludf.DUMMYFUNCTION("GOOGLETRANSLATE(B1149,""en"",""ar"")"),"فعالة")</f>
        <v>فعالة</v>
      </c>
    </row>
    <row r="1150" ht="14.25" customHeight="1">
      <c r="A1150" s="5"/>
      <c r="B1150" s="2" t="s">
        <v>1267</v>
      </c>
      <c r="C1150" s="2">
        <v>11.0</v>
      </c>
      <c r="E1150" s="14" t="s">
        <v>13</v>
      </c>
      <c r="F1150" s="15" t="str">
        <f>IFERROR(__xludf.DUMMYFUNCTION("GOOGLETRANSLATE(B1150,""en"",""ar"")"),"أدخل")</f>
        <v>أدخل</v>
      </c>
    </row>
    <row r="1151" ht="14.25" customHeight="1">
      <c r="A1151" s="5"/>
      <c r="B1151" s="2" t="s">
        <v>1268</v>
      </c>
      <c r="C1151" s="2">
        <v>11.0</v>
      </c>
      <c r="E1151" s="14" t="s">
        <v>43</v>
      </c>
      <c r="F1151" s="15" t="str">
        <f>IFERROR(__xludf.DUMMYFUNCTION("GOOGLETRANSLATE(B1151,""en"",""ar"")"),"بشكل أساسي")</f>
        <v>بشكل أساسي</v>
      </c>
    </row>
    <row r="1152" ht="14.25" customHeight="1">
      <c r="A1152" s="5"/>
      <c r="B1152" s="2" t="s">
        <v>1269</v>
      </c>
      <c r="C1152" s="2">
        <v>11.0</v>
      </c>
      <c r="E1152" s="14" t="s">
        <v>180</v>
      </c>
      <c r="F1152" s="15" t="str">
        <f>IFERROR(__xludf.DUMMYFUNCTION("GOOGLETRANSLATE(B1152,""en"",""ar"")"),"بالضبط")</f>
        <v>بالضبط</v>
      </c>
    </row>
    <row r="1153" ht="14.25" customHeight="1">
      <c r="A1153" s="5"/>
      <c r="B1153" s="2" t="s">
        <v>1270</v>
      </c>
      <c r="C1153" s="2">
        <v>11.0</v>
      </c>
      <c r="E1153" s="14" t="s">
        <v>120</v>
      </c>
      <c r="F1153" s="15" t="str">
        <f>IFERROR(__xludf.DUMMYFUNCTION("GOOGLETRANSLATE(B1153,""en"",""ar"")"),"عامل")</f>
        <v>عامل</v>
      </c>
    </row>
    <row r="1154" ht="14.25" customHeight="1">
      <c r="A1154" s="5"/>
      <c r="B1154" s="2" t="s">
        <v>1271</v>
      </c>
      <c r="C1154" s="2">
        <v>11.0</v>
      </c>
      <c r="E1154" s="14" t="s">
        <v>1272</v>
      </c>
      <c r="F1154" s="15" t="str">
        <f>IFERROR(__xludf.DUMMYFUNCTION("GOOGLETRANSLATE(B1154,""en"",""ar"")"),"اعمال حرة")</f>
        <v>اعمال حرة</v>
      </c>
    </row>
    <row r="1155" ht="14.25" customHeight="1">
      <c r="A1155" s="5"/>
      <c r="B1155" s="2" t="s">
        <v>1273</v>
      </c>
      <c r="C1155" s="2">
        <v>11.0</v>
      </c>
      <c r="E1155" s="14" t="s">
        <v>1205</v>
      </c>
      <c r="F1155" s="15" t="str">
        <f>IFERROR(__xludf.DUMMYFUNCTION("GOOGLETRANSLATE(B1155,""en"",""ar"")"),"يملأ")</f>
        <v>يملأ</v>
      </c>
    </row>
    <row r="1156" ht="14.25" customHeight="1">
      <c r="A1156" s="5"/>
      <c r="B1156" s="2" t="s">
        <v>1274</v>
      </c>
      <c r="C1156" s="2">
        <v>11.0</v>
      </c>
      <c r="E1156" s="14" t="s">
        <v>648</v>
      </c>
      <c r="F1156" s="15" t="str">
        <f>IFERROR(__xludf.DUMMYFUNCTION("GOOGLETRANSLATE(B1156,""en"",""ar"")"),"بخير")</f>
        <v>بخير</v>
      </c>
    </row>
    <row r="1157" ht="14.25" customHeight="1">
      <c r="A1157" s="5"/>
      <c r="B1157" s="2" t="s">
        <v>1275</v>
      </c>
      <c r="C1157" s="2">
        <v>11.0</v>
      </c>
      <c r="E1157" s="14" t="s">
        <v>78</v>
      </c>
      <c r="F1157" s="15" t="str">
        <f>IFERROR(__xludf.DUMMYFUNCTION("GOOGLETRANSLATE(B1157,""en"",""ar"")"),"رَسمِيّ")</f>
        <v>رَسمِيّ</v>
      </c>
    </row>
    <row r="1158" ht="14.25" customHeight="1">
      <c r="A1158" s="5"/>
      <c r="B1158" s="2" t="s">
        <v>1276</v>
      </c>
      <c r="C1158" s="2">
        <v>11.0</v>
      </c>
      <c r="E1158" s="14" t="s">
        <v>1277</v>
      </c>
      <c r="F1158" s="15" t="str">
        <f>IFERROR(__xludf.DUMMYFUNCTION("GOOGLETRANSLATE(B1158,""en"",""ar"")"),"إلى الأمام")</f>
        <v>إلى الأمام</v>
      </c>
    </row>
    <row r="1159" ht="14.25" customHeight="1">
      <c r="A1159" s="5"/>
      <c r="B1159" s="2" t="s">
        <v>1278</v>
      </c>
      <c r="C1159" s="2">
        <v>11.0</v>
      </c>
      <c r="E1159" s="14" t="s">
        <v>120</v>
      </c>
      <c r="F1159" s="15" t="str">
        <f>IFERROR(__xludf.DUMMYFUNCTION("GOOGLETRANSLATE(B1159,""en"",""ar"")"),"فاكهة")</f>
        <v>فاكهة</v>
      </c>
    </row>
    <row r="1160" ht="14.25" customHeight="1">
      <c r="A1160" s="5"/>
      <c r="B1160" s="2" t="s">
        <v>1279</v>
      </c>
      <c r="C1160" s="2">
        <v>11.0</v>
      </c>
      <c r="E1160" s="16" t="s">
        <v>1280</v>
      </c>
      <c r="F1160" s="15" t="str">
        <f>IFERROR(__xludf.DUMMYFUNCTION("GOOGLETRANSLATE(B1160,""en"",""ar"")"),"زجاج")</f>
        <v>زجاج</v>
      </c>
    </row>
    <row r="1161" ht="14.25" customHeight="1">
      <c r="A1161" s="5"/>
      <c r="B1161" s="2" t="s">
        <v>1281</v>
      </c>
      <c r="C1161" s="2">
        <v>11.0</v>
      </c>
      <c r="E1161" s="14" t="s">
        <v>13</v>
      </c>
      <c r="F1161" s="15" t="str">
        <f>IFERROR(__xludf.DUMMYFUNCTION("GOOGLETRANSLATE(B1161,""en"",""ar"")"),"يحدث")</f>
        <v>يحدث</v>
      </c>
    </row>
    <row r="1162" ht="14.25" customHeight="1">
      <c r="A1162" s="5"/>
      <c r="B1162" s="2" t="s">
        <v>1282</v>
      </c>
      <c r="C1162" s="2">
        <v>11.0</v>
      </c>
      <c r="E1162" s="14" t="s">
        <v>13</v>
      </c>
      <c r="F1162" s="15" t="str">
        <f>IFERROR(__xludf.DUMMYFUNCTION("GOOGLETRANSLATE(B1162,""en"",""ar"")"),"تشير")</f>
        <v>تشير</v>
      </c>
    </row>
    <row r="1163" ht="14.25" customHeight="1">
      <c r="A1163" s="5"/>
      <c r="B1163" s="2" t="s">
        <v>1283</v>
      </c>
      <c r="C1163" s="2">
        <v>11.0</v>
      </c>
      <c r="E1163" s="14" t="s">
        <v>1284</v>
      </c>
      <c r="F1163" s="15" t="str">
        <f>IFERROR(__xludf.DUMMYFUNCTION("GOOGLETRANSLATE(B1163,""en"",""ar"")"),"مشترك")</f>
        <v>مشترك</v>
      </c>
    </row>
    <row r="1164" ht="14.25" customHeight="1">
      <c r="A1164" s="5"/>
      <c r="B1164" s="2" t="s">
        <v>1285</v>
      </c>
      <c r="C1164" s="2">
        <v>11.0</v>
      </c>
      <c r="E1164" s="14" t="s">
        <v>1286</v>
      </c>
      <c r="F1164" s="15" t="str">
        <f>IFERROR(__xludf.DUMMYFUNCTION("GOOGLETRANSLATE(B1164,""en"",""ar"")"),"القفز")</f>
        <v>القفز</v>
      </c>
    </row>
    <row r="1165" ht="14.25" customHeight="1">
      <c r="A1165" s="5"/>
      <c r="B1165" s="2" t="s">
        <v>1287</v>
      </c>
      <c r="C1165" s="2">
        <v>11.0</v>
      </c>
      <c r="E1165" s="14" t="s">
        <v>1205</v>
      </c>
      <c r="F1165" s="15" t="str">
        <f>IFERROR(__xludf.DUMMYFUNCTION("GOOGLETRANSLATE(B1165,""en"",""ar"")"),"ركلة")</f>
        <v>ركلة</v>
      </c>
    </row>
    <row r="1166" ht="14.25" customHeight="1">
      <c r="A1166" s="5"/>
      <c r="B1166" s="2" t="s">
        <v>1288</v>
      </c>
      <c r="C1166" s="2">
        <v>11.0</v>
      </c>
      <c r="E1166" s="14" t="s">
        <v>84</v>
      </c>
      <c r="F1166" s="15" t="str">
        <f>IFERROR(__xludf.DUMMYFUNCTION("GOOGLETRANSLATE(B1166,""en"",""ar"")"),"رئيسي - سيد")</f>
        <v>رئيسي - سيد</v>
      </c>
    </row>
    <row r="1167" ht="14.25" customHeight="1">
      <c r="A1167" s="5"/>
      <c r="B1167" s="2" t="s">
        <v>1289</v>
      </c>
      <c r="C1167" s="2">
        <v>11.0</v>
      </c>
      <c r="E1167" s="14" t="s">
        <v>80</v>
      </c>
      <c r="F1167" s="15" t="str">
        <f>IFERROR(__xludf.DUMMYFUNCTION("GOOGLETRANSLATE(B1167,""en"",""ar"")"),"ذاكرة")</f>
        <v>ذاكرة</v>
      </c>
    </row>
    <row r="1168" ht="14.25" customHeight="1">
      <c r="A1168" s="5"/>
      <c r="B1168" s="2" t="s">
        <v>1290</v>
      </c>
      <c r="C1168" s="2">
        <v>11.0</v>
      </c>
      <c r="E1168" s="14" t="s">
        <v>129</v>
      </c>
      <c r="F1168" s="15" t="str">
        <f>IFERROR(__xludf.DUMMYFUNCTION("GOOGLETRANSLATE(B1168,""en"",""ar"")"),"عضلة")</f>
        <v>عضلة</v>
      </c>
    </row>
    <row r="1169" ht="14.25" customHeight="1">
      <c r="A1169" s="5"/>
      <c r="B1169" s="2" t="s">
        <v>1291</v>
      </c>
      <c r="C1169" s="2">
        <v>11.0</v>
      </c>
      <c r="E1169" s="14" t="s">
        <v>357</v>
      </c>
      <c r="F1169" s="15" t="str">
        <f>IFERROR(__xludf.DUMMYFUNCTION("GOOGLETRANSLATE(B1169,""en"",""ar"")"),"عكس")</f>
        <v>عكس</v>
      </c>
    </row>
    <row r="1170" ht="14.25" customHeight="1">
      <c r="A1170" s="5"/>
      <c r="B1170" s="2" t="s">
        <v>1292</v>
      </c>
      <c r="C1170" s="2">
        <v>11.0</v>
      </c>
      <c r="E1170" s="14" t="s">
        <v>1205</v>
      </c>
      <c r="F1170" s="15" t="str">
        <f>IFERROR(__xludf.DUMMYFUNCTION("GOOGLETRANSLATE(B1170,""en"",""ar"")"),"يمر")</f>
        <v>يمر</v>
      </c>
    </row>
    <row r="1171" ht="14.25" customHeight="1">
      <c r="A1171" s="5"/>
      <c r="B1171" s="2" t="s">
        <v>1293</v>
      </c>
      <c r="C1171" s="2">
        <v>11.0</v>
      </c>
      <c r="E1171" s="14" t="s">
        <v>80</v>
      </c>
      <c r="F1171" s="15" t="str">
        <f>IFERROR(__xludf.DUMMYFUNCTION("GOOGLETRANSLATE(B1171,""en"",""ar"")"),"الصبر")</f>
        <v>الصبر</v>
      </c>
    </row>
    <row r="1172" ht="14.25" customHeight="1">
      <c r="A1172" s="5"/>
      <c r="B1172" s="2" t="s">
        <v>1294</v>
      </c>
      <c r="C1172" s="2">
        <v>11.0</v>
      </c>
      <c r="E1172" s="14" t="s">
        <v>95</v>
      </c>
      <c r="F1172" s="15" t="str">
        <f>IFERROR(__xludf.DUMMYFUNCTION("GOOGLETRANSLATE(B1172,""en"",""ar"")"),"يقذف")</f>
        <v>يقذف</v>
      </c>
    </row>
    <row r="1173" ht="14.25" customHeight="1">
      <c r="A1173" s="5"/>
      <c r="B1173" s="2" t="s">
        <v>1295</v>
      </c>
      <c r="C1173" s="2">
        <v>11.0</v>
      </c>
      <c r="E1173" s="14" t="s">
        <v>43</v>
      </c>
      <c r="F1173" s="15" t="str">
        <f>IFERROR(__xludf.DUMMYFUNCTION("GOOGLETRANSLATE(B1173,""en"",""ar"")"),"ربما")</f>
        <v>ربما</v>
      </c>
    </row>
    <row r="1174" ht="14.25" customHeight="1">
      <c r="A1174" s="5"/>
      <c r="B1174" s="2" t="s">
        <v>1296</v>
      </c>
      <c r="C1174" s="2">
        <v>11.0</v>
      </c>
      <c r="E1174" s="14" t="s">
        <v>113</v>
      </c>
      <c r="F1174" s="15" t="str">
        <f>IFERROR(__xludf.DUMMYFUNCTION("GOOGLETRANSLATE(B1174,""en"",""ar"")"),"قوي")</f>
        <v>قوي</v>
      </c>
    </row>
    <row r="1175" ht="14.25" customHeight="1">
      <c r="A1175" s="5"/>
      <c r="B1175" s="2" t="s">
        <v>1297</v>
      </c>
      <c r="C1175" s="2">
        <v>11.0</v>
      </c>
      <c r="E1175" s="14" t="s">
        <v>1298</v>
      </c>
      <c r="F1175" s="15" t="str">
        <f>IFERROR(__xludf.DUMMYFUNCTION("GOOGLETRANSLATE(B1175,""en"",""ar"")"),"أحمر")</f>
        <v>أحمر</v>
      </c>
    </row>
    <row r="1176" ht="14.25" customHeight="1">
      <c r="A1176" s="5"/>
      <c r="B1176" s="2" t="s">
        <v>1299</v>
      </c>
      <c r="C1176" s="2">
        <v>11.0</v>
      </c>
      <c r="E1176" s="14" t="s">
        <v>236</v>
      </c>
      <c r="F1176" s="15" t="str">
        <f>IFERROR(__xludf.DUMMYFUNCTION("GOOGLETRANSLATE(B1176,""en"",""ar"")"),"التحكم عن بعد")</f>
        <v>التحكم عن بعد</v>
      </c>
    </row>
    <row r="1177" ht="14.25" customHeight="1">
      <c r="A1177" s="5"/>
      <c r="B1177" s="2" t="s">
        <v>1300</v>
      </c>
      <c r="C1177" s="2">
        <v>11.0</v>
      </c>
      <c r="E1177" s="14" t="s">
        <v>80</v>
      </c>
      <c r="F1177" s="15" t="str">
        <f>IFERROR(__xludf.DUMMYFUNCTION("GOOGLETRANSLATE(B1177,""en"",""ar"")"),"سكرتير")</f>
        <v>سكرتير</v>
      </c>
    </row>
    <row r="1178" ht="14.25" customHeight="1">
      <c r="A1178" s="5"/>
      <c r="B1178" s="2" t="s">
        <v>1301</v>
      </c>
      <c r="C1178" s="2">
        <v>11.0</v>
      </c>
      <c r="E1178" s="14" t="s">
        <v>43</v>
      </c>
      <c r="F1178" s="15" t="str">
        <f>IFERROR(__xludf.DUMMYFUNCTION("GOOGLETRANSLATE(B1178,""en"",""ar"")"),"بعض الشيء")</f>
        <v>بعض الشيء</v>
      </c>
    </row>
    <row r="1179" ht="14.25" customHeight="1">
      <c r="A1179" s="5"/>
      <c r="B1179" s="2" t="s">
        <v>1302</v>
      </c>
      <c r="C1179" s="2">
        <v>11.0</v>
      </c>
      <c r="E1179" s="14" t="s">
        <v>80</v>
      </c>
      <c r="F1179" s="15" t="str">
        <f>IFERROR(__xludf.DUMMYFUNCTION("GOOGLETRANSLATE(B1179,""en"",""ar"")"),"المحلول")</f>
        <v>المحلول</v>
      </c>
    </row>
    <row r="1180" ht="14.25" customHeight="1">
      <c r="A1180" s="5"/>
      <c r="B1180" s="2" t="s">
        <v>1303</v>
      </c>
      <c r="C1180" s="2">
        <v>11.0</v>
      </c>
      <c r="E1180" s="14" t="s">
        <v>43</v>
      </c>
      <c r="F1180" s="15" t="str">
        <f>IFERROR(__xludf.DUMMYFUNCTION("GOOGLETRANSLATE(B1180,""en"",""ar"")"),"قليلا")</f>
        <v>قليلا</v>
      </c>
    </row>
    <row r="1181" ht="14.25" customHeight="1">
      <c r="A1181" s="5"/>
      <c r="B1181" s="2" t="s">
        <v>1304</v>
      </c>
      <c r="C1181" s="2">
        <v>11.0</v>
      </c>
      <c r="E1181" s="14" t="s">
        <v>1305</v>
      </c>
      <c r="F1181" s="15" t="str">
        <f>IFERROR(__xludf.DUMMYFUNCTION("GOOGLETRANSLATE(B1181,""en"",""ar"")"),"قوة")</f>
        <v>قوة</v>
      </c>
    </row>
    <row r="1182" ht="14.25" customHeight="1">
      <c r="A1182" s="5"/>
      <c r="B1182" s="2" t="s">
        <v>1306</v>
      </c>
      <c r="C1182" s="2">
        <v>11.0</v>
      </c>
      <c r="E1182" s="14" t="s">
        <v>13</v>
      </c>
      <c r="F1182" s="15" t="str">
        <f>IFERROR(__xludf.DUMMYFUNCTION("GOOGLETRANSLATE(B1182,""en"",""ar"")"),"يقترح")</f>
        <v>يقترح</v>
      </c>
    </row>
    <row r="1183" ht="14.25" customHeight="1">
      <c r="A1183" s="5"/>
      <c r="B1183" s="2" t="s">
        <v>1307</v>
      </c>
      <c r="C1183" s="2">
        <v>11.0</v>
      </c>
      <c r="E1183" s="14" t="s">
        <v>13</v>
      </c>
      <c r="F1183" s="15" t="str">
        <f>IFERROR(__xludf.DUMMYFUNCTION("GOOGLETRANSLATE(B1183,""en"",""ar"")"),"ينجو")</f>
        <v>ينجو</v>
      </c>
    </row>
    <row r="1184" ht="14.25" customHeight="1">
      <c r="A1184" s="5"/>
      <c r="B1184" s="2" t="s">
        <v>1308</v>
      </c>
      <c r="C1184" s="2">
        <v>11.0</v>
      </c>
      <c r="E1184" s="14" t="s">
        <v>406</v>
      </c>
      <c r="F1184" s="15" t="str">
        <f>IFERROR(__xludf.DUMMYFUNCTION("GOOGLETRANSLATE(B1184,""en"",""ar"")"),"المجموع")</f>
        <v>المجموع</v>
      </c>
    </row>
    <row r="1185" ht="14.25" customHeight="1">
      <c r="A1185" s="5"/>
      <c r="B1185" s="2" t="s">
        <v>1309</v>
      </c>
      <c r="C1185" s="2">
        <v>11.0</v>
      </c>
      <c r="E1185" s="14" t="s">
        <v>120</v>
      </c>
      <c r="F1185" s="15" t="str">
        <f>IFERROR(__xludf.DUMMYFUNCTION("GOOGLETRANSLATE(B1185,""en"",""ar"")"),"حركة المرور")</f>
        <v>حركة المرور</v>
      </c>
    </row>
    <row r="1186" ht="14.25" customHeight="1">
      <c r="A1186" s="5"/>
      <c r="B1186" s="2" t="s">
        <v>1310</v>
      </c>
      <c r="C1186" s="2">
        <v>11.0</v>
      </c>
      <c r="E1186" s="14" t="s">
        <v>95</v>
      </c>
      <c r="F1186" s="15" t="str">
        <f>IFERROR(__xludf.DUMMYFUNCTION("GOOGLETRANSLATE(B1186,""en"",""ar"")"),"يعالج")</f>
        <v>يعالج</v>
      </c>
    </row>
    <row r="1187" ht="14.25" customHeight="1">
      <c r="A1187" s="5"/>
      <c r="B1187" s="2" t="s">
        <v>1311</v>
      </c>
      <c r="C1187" s="2">
        <v>11.0</v>
      </c>
      <c r="E1187" s="14" t="s">
        <v>1210</v>
      </c>
      <c r="F1187" s="15" t="str">
        <f>IFERROR(__xludf.DUMMYFUNCTION("GOOGLETRANSLATE(B1187,""en"",""ar"")"),"رحلة قصيرة")</f>
        <v>رحلة قصيرة</v>
      </c>
    </row>
    <row r="1188" ht="14.25" customHeight="1">
      <c r="A1188" s="5"/>
      <c r="B1188" s="2" t="s">
        <v>1312</v>
      </c>
      <c r="C1188" s="2">
        <v>11.0</v>
      </c>
      <c r="E1188" s="14" t="s">
        <v>236</v>
      </c>
      <c r="F1188" s="15" t="str">
        <f>IFERROR(__xludf.DUMMYFUNCTION("GOOGLETRANSLATE(B1188,""en"",""ar"")"),"واسع")</f>
        <v>واسع</v>
      </c>
    </row>
    <row r="1189" ht="14.25" customHeight="1">
      <c r="A1189" s="5"/>
      <c r="B1189" s="2" t="s">
        <v>1313</v>
      </c>
      <c r="C1189" s="2">
        <v>11.0</v>
      </c>
      <c r="E1189" s="14" t="s">
        <v>149</v>
      </c>
      <c r="F1189" s="15" t="str">
        <f>IFERROR(__xludf.DUMMYFUNCTION("GOOGLETRANSLATE(B1189,""en"",""ar"")"),"الخضروات")</f>
        <v>الخضروات</v>
      </c>
    </row>
    <row r="1190" ht="14.25" customHeight="1">
      <c r="A1190" s="5"/>
      <c r="B1190" s="2" t="s">
        <v>1314</v>
      </c>
      <c r="C1190" s="2">
        <v>10.0</v>
      </c>
      <c r="E1190" s="14" t="s">
        <v>95</v>
      </c>
      <c r="F1190" s="15" t="str">
        <f>IFERROR(__xludf.DUMMYFUNCTION("GOOGLETRANSLATE(B1190,""en"",""ar"")"),"تعاطي")</f>
        <v>تعاطي</v>
      </c>
    </row>
    <row r="1191" ht="14.25" customHeight="1">
      <c r="A1191" s="5"/>
      <c r="B1191" s="2" t="s">
        <v>1315</v>
      </c>
      <c r="C1191" s="2">
        <v>10.0</v>
      </c>
      <c r="E1191" s="14" t="s">
        <v>80</v>
      </c>
      <c r="F1191" s="15" t="str">
        <f>IFERROR(__xludf.DUMMYFUNCTION("GOOGLETRANSLATE(B1191,""en"",""ar"")"),"الادارة")</f>
        <v>الادارة</v>
      </c>
    </row>
    <row r="1192" ht="14.25" customHeight="1">
      <c r="A1192" s="5"/>
      <c r="B1192" s="2" t="s">
        <v>1316</v>
      </c>
      <c r="C1192" s="2">
        <v>10.0</v>
      </c>
      <c r="E1192" s="14" t="s">
        <v>120</v>
      </c>
      <c r="F1192" s="15" t="str">
        <f>IFERROR(__xludf.DUMMYFUNCTION("GOOGLETRANSLATE(B1192,""en"",""ar"")"),"مناشدة")</f>
        <v>مناشدة</v>
      </c>
    </row>
    <row r="1193" ht="14.25" customHeight="1">
      <c r="A1193" s="5"/>
      <c r="B1193" s="2" t="s">
        <v>1317</v>
      </c>
      <c r="C1193" s="2">
        <v>10.0</v>
      </c>
      <c r="E1193" s="14" t="s">
        <v>13</v>
      </c>
      <c r="F1193" s="15" t="str">
        <f>IFERROR(__xludf.DUMMYFUNCTION("GOOGLETRANSLATE(B1193,""en"",""ar"")"),"يقدر")</f>
        <v>يقدر</v>
      </c>
    </row>
    <row r="1194" ht="14.25" customHeight="1">
      <c r="A1194" s="5"/>
      <c r="B1194" s="2" t="s">
        <v>1318</v>
      </c>
      <c r="C1194" s="2">
        <v>10.0</v>
      </c>
      <c r="E1194" s="14" t="s">
        <v>80</v>
      </c>
      <c r="F1194" s="15" t="str">
        <f>IFERROR(__xludf.DUMMYFUNCTION("GOOGLETRANSLATE(B1194,""en"",""ar"")"),"جانب")</f>
        <v>جانب</v>
      </c>
    </row>
    <row r="1195" ht="14.25" customHeight="1">
      <c r="A1195" s="5"/>
      <c r="B1195" s="2" t="s">
        <v>1319</v>
      </c>
      <c r="C1195" s="2">
        <v>10.0</v>
      </c>
      <c r="E1195" s="14" t="s">
        <v>80</v>
      </c>
      <c r="F1195" s="15" t="str">
        <f>IFERROR(__xludf.DUMMYFUNCTION("GOOGLETRANSLATE(B1195,""en"",""ar"")"),"موقف سلوك")</f>
        <v>موقف سلوك</v>
      </c>
    </row>
    <row r="1196" ht="14.25" customHeight="1">
      <c r="A1196" s="5"/>
      <c r="B1196" s="2" t="s">
        <v>1320</v>
      </c>
      <c r="C1196" s="2">
        <v>10.0</v>
      </c>
      <c r="E1196" s="14" t="s">
        <v>325</v>
      </c>
      <c r="F1196" s="15" t="str">
        <f>IFERROR(__xludf.DUMMYFUNCTION("GOOGLETRANSLATE(B1196,""en"",""ar"")"),"تغلب")</f>
        <v>تغلب</v>
      </c>
    </row>
    <row r="1197" ht="14.25" customHeight="1">
      <c r="A1197" s="5"/>
      <c r="B1197" s="2" t="s">
        <v>1321</v>
      </c>
      <c r="C1197" s="2">
        <v>10.0</v>
      </c>
      <c r="E1197" s="14" t="s">
        <v>95</v>
      </c>
      <c r="F1197" s="15" t="str">
        <f>IFERROR(__xludf.DUMMYFUNCTION("GOOGLETRANSLATE(B1197,""en"",""ar"")"),"حرق")</f>
        <v>حرق</v>
      </c>
    </row>
    <row r="1198" ht="14.25" customHeight="1">
      <c r="A1198" s="5"/>
      <c r="B1198" s="2" t="s">
        <v>1322</v>
      </c>
      <c r="C1198" s="2">
        <v>10.0</v>
      </c>
      <c r="E1198" s="14" t="s">
        <v>120</v>
      </c>
      <c r="F1198" s="15" t="str">
        <f>IFERROR(__xludf.DUMMYFUNCTION("GOOGLETRANSLATE(B1198,""en"",""ar"")"),"جدول")</f>
        <v>جدول</v>
      </c>
    </row>
    <row r="1199" ht="14.25" customHeight="1">
      <c r="A1199" s="5"/>
      <c r="B1199" s="2" t="s">
        <v>1323</v>
      </c>
      <c r="C1199" s="2">
        <v>10.0</v>
      </c>
      <c r="E1199" s="14" t="s">
        <v>13</v>
      </c>
      <c r="F1199" s="15" t="str">
        <f>IFERROR(__xludf.DUMMYFUNCTION("GOOGLETRANSLATE(B1199,""en"",""ar"")"),"قارن")</f>
        <v>قارن</v>
      </c>
    </row>
    <row r="1200" ht="14.25" customHeight="1">
      <c r="A1200" s="5"/>
      <c r="B1200" s="2" t="s">
        <v>1324</v>
      </c>
      <c r="C1200" s="2">
        <v>10.0</v>
      </c>
      <c r="E1200" s="14" t="s">
        <v>95</v>
      </c>
      <c r="F1200" s="15" t="str">
        <f>IFERROR(__xludf.DUMMYFUNCTION("GOOGLETRANSLATE(B1200,""en"",""ar"")"),"الوديعة")</f>
        <v>الوديعة</v>
      </c>
    </row>
    <row r="1201" ht="14.25" customHeight="1">
      <c r="A1201" s="5"/>
      <c r="B1201" s="2" t="s">
        <v>1325</v>
      </c>
      <c r="C1201" s="2">
        <v>10.0</v>
      </c>
      <c r="E1201" s="14" t="s">
        <v>80</v>
      </c>
      <c r="F1201" s="15" t="str">
        <f>IFERROR(__xludf.DUMMYFUNCTION("GOOGLETRANSLATE(B1201,""en"",""ar"")"),"مدير")</f>
        <v>مدير</v>
      </c>
    </row>
    <row r="1202" ht="14.25" customHeight="1">
      <c r="A1202" s="5"/>
      <c r="B1202" s="2" t="s">
        <v>1326</v>
      </c>
      <c r="C1202" s="2">
        <v>10.0</v>
      </c>
      <c r="E1202" s="14" t="s">
        <v>43</v>
      </c>
      <c r="F1202" s="15" t="str">
        <f>IFERROR(__xludf.DUMMYFUNCTION("GOOGLETRANSLATE(B1202,""en"",""ar"")"),"بالتساوي")</f>
        <v>بالتساوي</v>
      </c>
    </row>
    <row r="1203" ht="14.25" customHeight="1">
      <c r="A1203" s="5"/>
      <c r="B1203" s="2" t="s">
        <v>1327</v>
      </c>
      <c r="C1203" s="2">
        <v>10.0</v>
      </c>
      <c r="E1203" s="14" t="s">
        <v>113</v>
      </c>
      <c r="F1203" s="15" t="str">
        <f>IFERROR(__xludf.DUMMYFUNCTION("GOOGLETRANSLATE(B1203,""en"",""ar"")"),"أجنبي")</f>
        <v>أجنبي</v>
      </c>
    </row>
    <row r="1204" ht="14.25" customHeight="1">
      <c r="A1204" s="5"/>
      <c r="B1204" s="2" t="s">
        <v>1328</v>
      </c>
      <c r="C1204" s="2">
        <v>10.0</v>
      </c>
      <c r="E1204" s="14" t="s">
        <v>1231</v>
      </c>
      <c r="F1204" s="15" t="str">
        <f>IFERROR(__xludf.DUMMYFUNCTION("GOOGLETRANSLATE(B1204,""en"",""ar"")"),"هيأ")</f>
        <v>هيأ</v>
      </c>
    </row>
    <row r="1205" ht="14.25" customHeight="1">
      <c r="A1205" s="5"/>
      <c r="B1205" s="2" t="s">
        <v>1329</v>
      </c>
      <c r="C1205" s="2">
        <v>10.0</v>
      </c>
      <c r="E1205" s="14" t="s">
        <v>43</v>
      </c>
      <c r="F1205" s="15" t="str">
        <f>IFERROR(__xludf.DUMMYFUNCTION("GOOGLETRANSLATE(B1205,""en"",""ar"")"),"كثيرا")</f>
        <v>كثيرا</v>
      </c>
    </row>
    <row r="1206" ht="14.25" customHeight="1">
      <c r="A1206" s="5"/>
      <c r="B1206" s="2" t="s">
        <v>1330</v>
      </c>
      <c r="C1206" s="2">
        <v>10.0</v>
      </c>
      <c r="E1206" s="14" t="s">
        <v>113</v>
      </c>
      <c r="F1206" s="15" t="str">
        <f>IFERROR(__xludf.DUMMYFUNCTION("GOOGLETRANSLATE(B1206,""en"",""ar"")"),"جوعان")</f>
        <v>جوعان</v>
      </c>
    </row>
    <row r="1207" ht="14.25" customHeight="1">
      <c r="A1207" s="5"/>
      <c r="B1207" s="2" t="s">
        <v>1331</v>
      </c>
      <c r="C1207" s="2">
        <v>10.0</v>
      </c>
      <c r="E1207" s="14" t="s">
        <v>149</v>
      </c>
      <c r="F1207" s="15" t="str">
        <f>IFERROR(__xludf.DUMMYFUNCTION("GOOGLETRANSLATE(B1207,""en"",""ar"")"),"المثالي")</f>
        <v>المثالي</v>
      </c>
    </row>
    <row r="1208" ht="14.25" customHeight="1">
      <c r="A1208" s="5"/>
      <c r="B1208" s="2" t="s">
        <v>1332</v>
      </c>
      <c r="C1208" s="2">
        <v>10.0</v>
      </c>
      <c r="E1208" s="14" t="s">
        <v>13</v>
      </c>
      <c r="F1208" s="15" t="str">
        <f>IFERROR(__xludf.DUMMYFUNCTION("GOOGLETRANSLATE(B1208,""en"",""ar"")"),"يتصور")</f>
        <v>يتصور</v>
      </c>
    </row>
    <row r="1209" ht="14.25" customHeight="1">
      <c r="A1209" s="5"/>
      <c r="B1209" s="2" t="s">
        <v>1333</v>
      </c>
      <c r="C1209" s="2">
        <v>10.0</v>
      </c>
      <c r="E1209" s="14" t="s">
        <v>149</v>
      </c>
      <c r="F1209" s="15" t="str">
        <f>IFERROR(__xludf.DUMMYFUNCTION("GOOGLETRANSLATE(B1209,""en"",""ar"")"),"مطبخ")</f>
        <v>مطبخ</v>
      </c>
    </row>
    <row r="1210" ht="14.25" customHeight="1">
      <c r="A1210" s="5"/>
      <c r="B1210" s="2" t="s">
        <v>1334</v>
      </c>
      <c r="C1210" s="2">
        <v>10.0</v>
      </c>
      <c r="E1210" s="14" t="s">
        <v>1210</v>
      </c>
      <c r="F1210" s="15" t="str">
        <f>IFERROR(__xludf.DUMMYFUNCTION("GOOGLETRANSLATE(B1210,""en"",""ar"")"),"الأرض")</f>
        <v>الأرض</v>
      </c>
    </row>
    <row r="1211" ht="14.25" customHeight="1">
      <c r="A1211" s="5"/>
      <c r="B1211" s="2" t="s">
        <v>1335</v>
      </c>
      <c r="C1211" s="2">
        <v>10.0</v>
      </c>
      <c r="E1211" s="14" t="s">
        <v>120</v>
      </c>
      <c r="F1211" s="15" t="str">
        <f>IFERROR(__xludf.DUMMYFUNCTION("GOOGLETRANSLATE(B1211,""en"",""ar"")"),"سجل")</f>
        <v>سجل</v>
      </c>
    </row>
    <row r="1212" ht="14.25" customHeight="1">
      <c r="A1212" s="5"/>
      <c r="B1212" s="2" t="s">
        <v>1336</v>
      </c>
      <c r="C1212" s="2">
        <v>10.0</v>
      </c>
      <c r="E1212" s="14" t="s">
        <v>1337</v>
      </c>
      <c r="F1212" s="15" t="str">
        <f>IFERROR(__xludf.DUMMYFUNCTION("GOOGLETRANSLATE(B1212,""en"",""ar"")"),"ضائع")</f>
        <v>ضائع</v>
      </c>
    </row>
    <row r="1213" ht="14.25" customHeight="1">
      <c r="A1213" s="5"/>
      <c r="B1213" s="2" t="s">
        <v>1338</v>
      </c>
      <c r="C1213" s="2">
        <v>10.0</v>
      </c>
      <c r="E1213" s="14" t="s">
        <v>13</v>
      </c>
      <c r="F1213" s="15" t="str">
        <f>IFERROR(__xludf.DUMMYFUNCTION("GOOGLETRANSLATE(B1213,""en"",""ar"")"),"تدبير")</f>
        <v>تدبير</v>
      </c>
    </row>
    <row r="1214" ht="14.25" customHeight="1">
      <c r="A1214" s="5"/>
      <c r="B1214" s="2" t="s">
        <v>1339</v>
      </c>
      <c r="C1214" s="2">
        <v>10.0</v>
      </c>
      <c r="E1214" s="14" t="s">
        <v>1284</v>
      </c>
      <c r="F1214" s="15" t="str">
        <f>IFERROR(__xludf.DUMMYFUNCTION("GOOGLETRANSLATE(B1214,""en"",""ar"")"),"أم")</f>
        <v>أم</v>
      </c>
    </row>
    <row r="1215" ht="14.25" customHeight="1">
      <c r="A1215" s="5"/>
      <c r="B1215" s="2" t="s">
        <v>1340</v>
      </c>
      <c r="C1215" s="2">
        <v>10.0</v>
      </c>
      <c r="E1215" s="14" t="s">
        <v>43</v>
      </c>
      <c r="F1215" s="15" t="str">
        <f>IFERROR(__xludf.DUMMYFUNCTION("GOOGLETRANSLATE(B1215,""en"",""ar"")"),"بالضرورة")</f>
        <v>بالضرورة</v>
      </c>
    </row>
    <row r="1216" ht="14.25" customHeight="1">
      <c r="A1216" s="5"/>
      <c r="B1216" s="2" t="s">
        <v>1341</v>
      </c>
      <c r="C1216" s="2">
        <v>10.0</v>
      </c>
      <c r="E1216" s="14" t="s">
        <v>120</v>
      </c>
      <c r="F1216" s="15" t="str">
        <f>IFERROR(__xludf.DUMMYFUNCTION("GOOGLETRANSLATE(B1216,""en"",""ar"")"),"صافي")</f>
        <v>صافي</v>
      </c>
    </row>
    <row r="1217" ht="14.25" customHeight="1">
      <c r="A1217" s="5"/>
      <c r="B1217" s="2" t="s">
        <v>1342</v>
      </c>
      <c r="C1217" s="2">
        <v>10.0</v>
      </c>
      <c r="E1217" s="14" t="s">
        <v>84</v>
      </c>
      <c r="F1217" s="15" t="str">
        <f>IFERROR(__xludf.DUMMYFUNCTION("GOOGLETRANSLATE(B1217,""en"",""ar"")"),"حفل")</f>
        <v>حفل</v>
      </c>
    </row>
    <row r="1218" ht="14.25" customHeight="1">
      <c r="A1218" s="5"/>
      <c r="B1218" s="2" t="s">
        <v>1343</v>
      </c>
      <c r="C1218" s="2">
        <v>10.0</v>
      </c>
      <c r="E1218" s="14" t="s">
        <v>80</v>
      </c>
      <c r="F1218" s="15" t="str">
        <f>IFERROR(__xludf.DUMMYFUNCTION("GOOGLETRANSLATE(B1218,""en"",""ar"")"),"الشخصية")</f>
        <v>الشخصية</v>
      </c>
    </row>
    <row r="1219" ht="14.25" customHeight="1">
      <c r="A1219" s="5"/>
      <c r="B1219" s="2" t="s">
        <v>1344</v>
      </c>
      <c r="C1219" s="2">
        <v>10.0</v>
      </c>
      <c r="E1219" s="14" t="s">
        <v>43</v>
      </c>
      <c r="F1219" s="15" t="str">
        <f>IFERROR(__xludf.DUMMYFUNCTION("GOOGLETRANSLATE(B1219,""en"",""ar"")"),"شخصيا")</f>
        <v>شخصيا</v>
      </c>
    </row>
    <row r="1220" ht="14.25" customHeight="1">
      <c r="A1220" s="5"/>
      <c r="B1220" s="2" t="s">
        <v>1345</v>
      </c>
      <c r="C1220" s="2">
        <v>10.0</v>
      </c>
      <c r="E1220" s="14" t="s">
        <v>113</v>
      </c>
      <c r="F1220" s="15" t="str">
        <f>IFERROR(__xludf.DUMMYFUNCTION("GOOGLETRANSLATE(B1220,""en"",""ar"")"),"عملي")</f>
        <v>عملي</v>
      </c>
    </row>
    <row r="1221" ht="14.25" customHeight="1">
      <c r="A1221" s="5"/>
      <c r="B1221" s="2" t="s">
        <v>1346</v>
      </c>
      <c r="C1221" s="2">
        <v>10.0</v>
      </c>
      <c r="E1221" s="14" t="s">
        <v>1305</v>
      </c>
      <c r="F1221" s="15" t="str">
        <f>IFERROR(__xludf.DUMMYFUNCTION("GOOGLETRANSLATE(B1221,""en"",""ar"")"),"المبدأ")</f>
        <v>المبدأ</v>
      </c>
    </row>
    <row r="1222" ht="14.25" customHeight="1">
      <c r="A1222" s="5"/>
      <c r="B1222" s="2" t="s">
        <v>1347</v>
      </c>
      <c r="C1222" s="2">
        <v>10.0</v>
      </c>
      <c r="E1222" s="14" t="s">
        <v>1348</v>
      </c>
      <c r="F1222" s="15" t="str">
        <f>IFERROR(__xludf.DUMMYFUNCTION("GOOGLETRANSLATE(B1222,""en"",""ar"")"),"مطبعة")</f>
        <v>مطبعة</v>
      </c>
    </row>
    <row r="1223" ht="14.25" customHeight="1">
      <c r="A1223" s="5"/>
      <c r="B1223" s="2" t="s">
        <v>1349</v>
      </c>
      <c r="C1223" s="2">
        <v>10.0</v>
      </c>
      <c r="E1223" s="14" t="s">
        <v>113</v>
      </c>
      <c r="F1223" s="15" t="str">
        <f>IFERROR(__xludf.DUMMYFUNCTION("GOOGLETRANSLATE(B1223,""en"",""ar"")"),"نفسي")</f>
        <v>نفسي</v>
      </c>
    </row>
    <row r="1224" ht="14.25" customHeight="1">
      <c r="A1224" s="5"/>
      <c r="B1224" s="2" t="s">
        <v>1350</v>
      </c>
      <c r="C1224" s="2">
        <v>10.0</v>
      </c>
      <c r="E1224" s="14" t="s">
        <v>80</v>
      </c>
      <c r="F1224" s="15" t="str">
        <f>IFERROR(__xludf.DUMMYFUNCTION("GOOGLETRANSLATE(B1224,""en"",""ar"")"),"علم النفس")</f>
        <v>علم النفس</v>
      </c>
    </row>
    <row r="1225" ht="14.25" customHeight="1">
      <c r="A1225" s="5"/>
      <c r="B1225" s="2" t="s">
        <v>1351</v>
      </c>
      <c r="C1225" s="2">
        <v>10.0</v>
      </c>
      <c r="E1225" s="14" t="s">
        <v>1205</v>
      </c>
      <c r="F1225" s="15" t="str">
        <f>IFERROR(__xludf.DUMMYFUNCTION("GOOGLETRANSLATE(B1225,""en"",""ar"")"),"رفع")</f>
        <v>رفع</v>
      </c>
    </row>
    <row r="1226" ht="14.25" customHeight="1">
      <c r="A1226" s="5"/>
      <c r="B1226" s="2" t="s">
        <v>1352</v>
      </c>
      <c r="C1226" s="2">
        <v>10.0</v>
      </c>
      <c r="E1226" s="14" t="s">
        <v>43</v>
      </c>
      <c r="F1226" s="15" t="str">
        <f>IFERROR(__xludf.DUMMYFUNCTION("GOOGLETRANSLATE(B1226,""en"",""ar"")"),"نادرا")</f>
        <v>نادرا</v>
      </c>
    </row>
    <row r="1227" ht="14.25" customHeight="1">
      <c r="A1227" s="5"/>
      <c r="B1227" s="2" t="s">
        <v>1353</v>
      </c>
      <c r="C1227" s="2">
        <v>10.0</v>
      </c>
      <c r="E1227" s="14" t="s">
        <v>80</v>
      </c>
      <c r="F1227" s="15" t="str">
        <f>IFERROR(__xludf.DUMMYFUNCTION("GOOGLETRANSLATE(B1227,""en"",""ar"")"),"توصية")</f>
        <v>توصية</v>
      </c>
    </row>
    <row r="1228" ht="14.25" customHeight="1">
      <c r="A1228" s="5"/>
      <c r="B1228" s="2" t="s">
        <v>1354</v>
      </c>
      <c r="C1228" s="2">
        <v>10.0</v>
      </c>
      <c r="E1228" s="14" t="s">
        <v>43</v>
      </c>
      <c r="F1228" s="15" t="str">
        <f>IFERROR(__xludf.DUMMYFUNCTION("GOOGLETRANSLATE(B1228,""en"",""ar"")"),"بشكل منتظم")</f>
        <v>بشكل منتظم</v>
      </c>
    </row>
    <row r="1229" ht="14.25" customHeight="1">
      <c r="A1229" s="5"/>
      <c r="B1229" s="2" t="s">
        <v>1355</v>
      </c>
      <c r="C1229" s="2">
        <v>10.0</v>
      </c>
      <c r="E1229" s="14" t="s">
        <v>149</v>
      </c>
      <c r="F1229" s="15" t="str">
        <f>IFERROR(__xludf.DUMMYFUNCTION("GOOGLETRANSLATE(B1229,""en"",""ar"")"),"نسبيا")</f>
        <v>نسبيا</v>
      </c>
    </row>
    <row r="1230" ht="14.25" customHeight="1">
      <c r="A1230" s="5"/>
      <c r="B1230" s="2" t="s">
        <v>1356</v>
      </c>
      <c r="C1230" s="2">
        <v>10.0</v>
      </c>
      <c r="E1230" s="14" t="s">
        <v>80</v>
      </c>
      <c r="F1230" s="15" t="str">
        <f>IFERROR(__xludf.DUMMYFUNCTION("GOOGLETRANSLATE(B1230,""en"",""ar"")"),"استجابة")</f>
        <v>استجابة</v>
      </c>
    </row>
    <row r="1231" ht="14.25" customHeight="1">
      <c r="A1231" s="5"/>
      <c r="B1231" s="2" t="s">
        <v>1357</v>
      </c>
      <c r="C1231" s="2">
        <v>10.0</v>
      </c>
      <c r="E1231" s="14" t="s">
        <v>1305</v>
      </c>
      <c r="F1231" s="15" t="str">
        <f>IFERROR(__xludf.DUMMYFUNCTION("GOOGLETRANSLATE(B1231,""en"",""ar"")"),"تخفيض السعر")</f>
        <v>تخفيض السعر</v>
      </c>
    </row>
    <row r="1232" ht="14.25" customHeight="1">
      <c r="A1232" s="5"/>
      <c r="B1232" s="2" t="s">
        <v>1358</v>
      </c>
      <c r="C1232" s="2">
        <v>10.0</v>
      </c>
      <c r="E1232" s="14" t="s">
        <v>1210</v>
      </c>
      <c r="F1232" s="15" t="str">
        <f>IFERROR(__xludf.DUMMYFUNCTION("GOOGLETRANSLATE(B1232,""en"",""ar"")"),"الموسم")</f>
        <v>الموسم</v>
      </c>
    </row>
    <row r="1233" ht="14.25" customHeight="1">
      <c r="A1233" s="5"/>
      <c r="B1233" s="2" t="s">
        <v>1359</v>
      </c>
      <c r="C1233" s="2">
        <v>10.0</v>
      </c>
      <c r="E1233" s="14" t="s">
        <v>80</v>
      </c>
      <c r="F1233" s="15" t="str">
        <f>IFERROR(__xludf.DUMMYFUNCTION("GOOGLETRANSLATE(B1233,""en"",""ar"")"),"اختيار")</f>
        <v>اختيار</v>
      </c>
    </row>
    <row r="1234" ht="14.25" customHeight="1">
      <c r="A1234" s="5"/>
      <c r="B1234" s="2" t="s">
        <v>1360</v>
      </c>
      <c r="C1234" s="2">
        <v>10.0</v>
      </c>
      <c r="E1234" s="14" t="s">
        <v>113</v>
      </c>
      <c r="F1234" s="15" t="str">
        <f>IFERROR(__xludf.DUMMYFUNCTION("GOOGLETRANSLATE(B1234,""en"",""ar"")"),"شديدة")</f>
        <v>شديدة</v>
      </c>
    </row>
    <row r="1235" ht="14.25" customHeight="1">
      <c r="A1235" s="5"/>
      <c r="B1235" s="2" t="s">
        <v>1361</v>
      </c>
      <c r="C1235" s="2">
        <v>10.0</v>
      </c>
      <c r="E1235" s="14" t="s">
        <v>84</v>
      </c>
      <c r="F1235" s="15" t="str">
        <f>IFERROR(__xludf.DUMMYFUNCTION("GOOGLETRANSLATE(B1235,""en"",""ar"")"),"الإشارة")</f>
        <v>الإشارة</v>
      </c>
    </row>
    <row r="1236" ht="14.25" customHeight="1">
      <c r="A1236" s="5"/>
      <c r="B1236" s="2" t="s">
        <v>1362</v>
      </c>
      <c r="C1236" s="2">
        <v>10.0</v>
      </c>
      <c r="E1236" s="14" t="s">
        <v>43</v>
      </c>
      <c r="F1236" s="15" t="str">
        <f>IFERROR(__xludf.DUMMYFUNCTION("GOOGLETRANSLATE(B1236,""en"",""ar"")"),"بصورة مماثلة")</f>
        <v>بصورة مماثلة</v>
      </c>
    </row>
    <row r="1237" ht="14.25" customHeight="1">
      <c r="A1237" s="5"/>
      <c r="B1237" s="2" t="s">
        <v>1363</v>
      </c>
      <c r="C1237" s="2">
        <v>10.0</v>
      </c>
      <c r="E1237" s="14" t="s">
        <v>1205</v>
      </c>
      <c r="F1237" s="15" t="str">
        <f>IFERROR(__xludf.DUMMYFUNCTION("GOOGLETRANSLATE(B1237,""en"",""ar"")"),"ينام")</f>
        <v>ينام</v>
      </c>
    </row>
    <row r="1238" ht="14.25" customHeight="1">
      <c r="A1238" s="5"/>
      <c r="B1238" s="2" t="s">
        <v>1364</v>
      </c>
      <c r="C1238" s="2">
        <v>10.0</v>
      </c>
      <c r="E1238" s="14" t="s">
        <v>648</v>
      </c>
      <c r="F1238" s="15" t="str">
        <f>IFERROR(__xludf.DUMMYFUNCTION("GOOGLETRANSLATE(B1238,""en"",""ar"")"),"ناعم")</f>
        <v>ناعم</v>
      </c>
    </row>
    <row r="1239" ht="14.25" customHeight="1">
      <c r="A1239" s="5"/>
      <c r="B1239" s="2" t="s">
        <v>1365</v>
      </c>
      <c r="C1239" s="2">
        <v>10.0</v>
      </c>
      <c r="E1239" s="14" t="s">
        <v>315</v>
      </c>
      <c r="F1239" s="15" t="str">
        <f>IFERROR(__xludf.DUMMYFUNCTION("GOOGLETRANSLATE(B1239,""en"",""ar"")"),"مكان ما")</f>
        <v>مكان ما</v>
      </c>
    </row>
    <row r="1240" ht="14.25" customHeight="1">
      <c r="A1240" s="5"/>
      <c r="B1240" s="2" t="s">
        <v>1366</v>
      </c>
      <c r="C1240" s="2">
        <v>10.0</v>
      </c>
      <c r="E1240" s="14" t="s">
        <v>1210</v>
      </c>
      <c r="F1240" s="15" t="str">
        <f>IFERROR(__xludf.DUMMYFUNCTION("GOOGLETRANSLATE(B1240,""en"",""ar"")"),"روح")</f>
        <v>روح</v>
      </c>
    </row>
    <row r="1241" ht="14.25" customHeight="1">
      <c r="A1241" s="5"/>
      <c r="B1241" s="2" t="s">
        <v>1367</v>
      </c>
      <c r="C1241" s="2">
        <v>10.0</v>
      </c>
      <c r="E1241" s="14" t="s">
        <v>80</v>
      </c>
      <c r="F1241" s="15" t="str">
        <f>IFERROR(__xludf.DUMMYFUNCTION("GOOGLETRANSLATE(B1241,""en"",""ar"")"),"تخزين")</f>
        <v>تخزين</v>
      </c>
    </row>
    <row r="1242" ht="14.25" customHeight="1">
      <c r="A1242" s="5"/>
      <c r="B1242" s="2" t="s">
        <v>1368</v>
      </c>
      <c r="C1242" s="2">
        <v>10.0</v>
      </c>
      <c r="E1242" s="14" t="s">
        <v>1298</v>
      </c>
      <c r="F1242" s="15" t="str">
        <f>IFERROR(__xludf.DUMMYFUNCTION("GOOGLETRANSLATE(B1242,""en"",""ar"")"),"شارع")</f>
        <v>شارع</v>
      </c>
    </row>
    <row r="1243" ht="14.25" customHeight="1">
      <c r="A1243" s="5"/>
      <c r="B1243" s="2" t="s">
        <v>1369</v>
      </c>
      <c r="C1243" s="2">
        <v>10.0</v>
      </c>
      <c r="E1243" s="14" t="s">
        <v>113</v>
      </c>
      <c r="F1243" s="15" t="str">
        <f>IFERROR(__xludf.DUMMYFUNCTION("GOOGLETRANSLATE(B1243,""en"",""ar"")"),"متكافئ")</f>
        <v>متكافئ</v>
      </c>
    </row>
    <row r="1244" ht="14.25" customHeight="1">
      <c r="A1244" s="5"/>
      <c r="B1244" s="2" t="s">
        <v>1370</v>
      </c>
      <c r="C1244" s="2">
        <v>10.0</v>
      </c>
      <c r="E1244" s="14" t="s">
        <v>1210</v>
      </c>
      <c r="F1244" s="15" t="str">
        <f>IFERROR(__xludf.DUMMYFUNCTION("GOOGLETRANSLATE(B1244,""en"",""ar"")"),"شجرة")</f>
        <v>شجرة</v>
      </c>
    </row>
    <row r="1245" ht="14.25" customHeight="1">
      <c r="A1245" s="5"/>
      <c r="B1245" s="2" t="s">
        <v>1371</v>
      </c>
      <c r="C1245" s="2">
        <v>10.0</v>
      </c>
      <c r="E1245" s="14" t="s">
        <v>80</v>
      </c>
      <c r="F1245" s="15" t="str">
        <f>IFERROR(__xludf.DUMMYFUNCTION("GOOGLETRANSLATE(B1245,""en"",""ar"")"),"إصدار")</f>
        <v>إصدار</v>
      </c>
    </row>
    <row r="1246" ht="14.25" customHeight="1">
      <c r="A1246" s="5"/>
      <c r="B1246" s="2" t="s">
        <v>1372</v>
      </c>
      <c r="C1246" s="2">
        <v>10.0</v>
      </c>
      <c r="E1246" s="14" t="s">
        <v>1210</v>
      </c>
      <c r="F1246" s="15" t="str">
        <f>IFERROR(__xludf.DUMMYFUNCTION("GOOGLETRANSLATE(B1246,""en"",""ar"")"),"لوح")</f>
        <v>لوح</v>
      </c>
    </row>
    <row r="1247" ht="14.25" customHeight="1">
      <c r="A1247" s="5"/>
      <c r="B1247" s="2" t="s">
        <v>1373</v>
      </c>
      <c r="C1247" s="2">
        <v>9.0</v>
      </c>
      <c r="E1247" s="14" t="s">
        <v>325</v>
      </c>
      <c r="F1247" s="15" t="str">
        <f>IFERROR(__xludf.DUMMYFUNCTION("GOOGLETRANSLATE(B1247,""en"",""ar"")"),"يتقدم")</f>
        <v>يتقدم</v>
      </c>
    </row>
    <row r="1248" ht="14.25" customHeight="1">
      <c r="A1248" s="5"/>
      <c r="B1248" s="2" t="s">
        <v>1374</v>
      </c>
      <c r="C1248" s="2">
        <v>9.0</v>
      </c>
      <c r="E1248" s="14" t="s">
        <v>80</v>
      </c>
      <c r="F1248" s="15" t="str">
        <f>IFERROR(__xludf.DUMMYFUNCTION("GOOGLETRANSLATE(B1248,""en"",""ar"")"),"الكحول")</f>
        <v>الكحول</v>
      </c>
    </row>
    <row r="1249" ht="14.25" customHeight="1">
      <c r="A1249" s="5"/>
      <c r="B1249" s="2" t="s">
        <v>1375</v>
      </c>
      <c r="C1249" s="2">
        <v>9.0</v>
      </c>
      <c r="E1249" s="14" t="s">
        <v>315</v>
      </c>
      <c r="F1249" s="15" t="str">
        <f>IFERROR(__xludf.DUMMYFUNCTION("GOOGLETRANSLATE(B1249,""en"",""ar"")"),"في أى مكان")</f>
        <v>في أى مكان</v>
      </c>
    </row>
    <row r="1250" ht="14.25" customHeight="1">
      <c r="A1250" s="5"/>
      <c r="B1250" s="2" t="s">
        <v>1376</v>
      </c>
      <c r="C1250" s="2">
        <v>9.0</v>
      </c>
      <c r="E1250" s="14" t="s">
        <v>80</v>
      </c>
      <c r="F1250" s="15" t="str">
        <f>IFERROR(__xludf.DUMMYFUNCTION("GOOGLETRANSLATE(B1250,""en"",""ar"")"),"جدال")</f>
        <v>جدال</v>
      </c>
    </row>
    <row r="1251" ht="14.25" customHeight="1">
      <c r="A1251" s="5"/>
      <c r="B1251" s="2" t="s">
        <v>1377</v>
      </c>
      <c r="C1251" s="2">
        <v>9.0</v>
      </c>
      <c r="E1251" s="14" t="s">
        <v>43</v>
      </c>
      <c r="F1251" s="15" t="str">
        <f>IFERROR(__xludf.DUMMYFUNCTION("GOOGLETRANSLATE(B1251,""en"",""ar"")"),"في الأساس")</f>
        <v>في الأساس</v>
      </c>
    </row>
    <row r="1252" ht="14.25" customHeight="1">
      <c r="A1252" s="5"/>
      <c r="B1252" s="2" t="s">
        <v>1378</v>
      </c>
      <c r="C1252" s="2">
        <v>9.0</v>
      </c>
      <c r="E1252" s="14" t="s">
        <v>120</v>
      </c>
      <c r="F1252" s="15" t="str">
        <f>IFERROR(__xludf.DUMMYFUNCTION("GOOGLETRANSLATE(B1252,""en"",""ar"")"),"حزام")</f>
        <v>حزام</v>
      </c>
    </row>
    <row r="1253" ht="14.25" customHeight="1">
      <c r="A1253" s="5"/>
      <c r="B1253" s="2" t="s">
        <v>1379</v>
      </c>
      <c r="C1253" s="2">
        <v>9.0</v>
      </c>
      <c r="E1253" s="14" t="s">
        <v>120</v>
      </c>
      <c r="F1253" s="15" t="str">
        <f>IFERROR(__xludf.DUMMYFUNCTION("GOOGLETRANSLATE(B1253,""en"",""ar"")"),"مقعد")</f>
        <v>مقعد</v>
      </c>
    </row>
    <row r="1254" ht="14.25" customHeight="1">
      <c r="A1254" s="5"/>
      <c r="B1254" s="2" t="s">
        <v>1380</v>
      </c>
      <c r="C1254" s="2">
        <v>9.0</v>
      </c>
      <c r="E1254" s="14" t="s">
        <v>88</v>
      </c>
      <c r="F1254" s="15" t="str">
        <f>IFERROR(__xludf.DUMMYFUNCTION("GOOGLETRANSLATE(B1254,""en"",""ar"")"),"مغلق")</f>
        <v>مغلق</v>
      </c>
    </row>
    <row r="1255" ht="14.25" customHeight="1">
      <c r="A1255" s="5"/>
      <c r="B1255" s="2" t="s">
        <v>1381</v>
      </c>
      <c r="C1255" s="2">
        <v>9.0</v>
      </c>
      <c r="E1255" s="14" t="s">
        <v>43</v>
      </c>
      <c r="F1255" s="15" t="str">
        <f>IFERROR(__xludf.DUMMYFUNCTION("GOOGLETRANSLATE(B1255,""en"",""ar"")"),"بعناية")</f>
        <v>بعناية</v>
      </c>
    </row>
    <row r="1256" ht="14.25" customHeight="1">
      <c r="A1256" s="5"/>
      <c r="B1256" s="2" t="s">
        <v>1382</v>
      </c>
      <c r="C1256" s="2">
        <v>9.0</v>
      </c>
      <c r="E1256" s="14" t="s">
        <v>120</v>
      </c>
      <c r="F1256" s="15" t="str">
        <f>IFERROR(__xludf.DUMMYFUNCTION("GOOGLETRANSLATE(B1256,""en"",""ar"")"),"لجنة")</f>
        <v>لجنة</v>
      </c>
    </row>
    <row r="1257" ht="14.25" customHeight="1">
      <c r="A1257" s="5"/>
      <c r="B1257" s="2" t="s">
        <v>1383</v>
      </c>
      <c r="C1257" s="2">
        <v>9.0</v>
      </c>
      <c r="E1257" s="14" t="s">
        <v>80</v>
      </c>
      <c r="F1257" s="15" t="str">
        <f>IFERROR(__xludf.DUMMYFUNCTION("GOOGLETRANSLATE(B1257,""en"",""ar"")"),"شكوى")</f>
        <v>شكوى</v>
      </c>
    </row>
    <row r="1258" ht="14.25" customHeight="1">
      <c r="A1258" s="5"/>
      <c r="B1258" s="2" t="s">
        <v>1384</v>
      </c>
      <c r="C1258" s="2">
        <v>9.0</v>
      </c>
      <c r="E1258" s="14" t="s">
        <v>644</v>
      </c>
      <c r="F1258" s="15" t="str">
        <f>IFERROR(__xludf.DUMMYFUNCTION("GOOGLETRANSLATE(B1258,""en"",""ar"")"),"الاتصال")</f>
        <v>الاتصال</v>
      </c>
    </row>
    <row r="1259" ht="14.25" customHeight="1">
      <c r="A1259" s="5"/>
      <c r="B1259" s="2" t="s">
        <v>1385</v>
      </c>
      <c r="C1259" s="2">
        <v>9.0</v>
      </c>
      <c r="E1259" s="14" t="s">
        <v>95</v>
      </c>
      <c r="F1259" s="15" t="str">
        <f>IFERROR(__xludf.DUMMYFUNCTION("GOOGLETRANSLATE(B1259,""en"",""ar"")"),"تتكون")</f>
        <v>تتكون</v>
      </c>
    </row>
    <row r="1260" ht="14.25" customHeight="1">
      <c r="A1260" s="5"/>
      <c r="B1260" s="2" t="s">
        <v>1386</v>
      </c>
      <c r="C1260" s="2">
        <v>9.0</v>
      </c>
      <c r="E1260" s="14" t="s">
        <v>80</v>
      </c>
      <c r="F1260" s="15" t="str">
        <f>IFERROR(__xludf.DUMMYFUNCTION("GOOGLETRANSLATE(B1260,""en"",""ar"")"),"عقد")</f>
        <v>عقد</v>
      </c>
    </row>
    <row r="1261" ht="14.25" customHeight="1">
      <c r="A1261" s="5"/>
      <c r="B1261" s="2" t="s">
        <v>1387</v>
      </c>
      <c r="C1261" s="2">
        <v>9.0</v>
      </c>
      <c r="E1261" s="14" t="s">
        <v>1262</v>
      </c>
      <c r="F1261" s="15" t="str">
        <f>IFERROR(__xludf.DUMMYFUNCTION("GOOGLETRANSLATE(B1261,""en"",""ar"")"),"مساهمة")</f>
        <v>مساهمة</v>
      </c>
    </row>
    <row r="1262" ht="14.25" customHeight="1">
      <c r="A1262" s="5"/>
      <c r="B1262" s="2" t="s">
        <v>1388</v>
      </c>
      <c r="C1262" s="2">
        <v>9.0</v>
      </c>
      <c r="E1262" s="14" t="s">
        <v>1210</v>
      </c>
      <c r="F1262" s="15" t="str">
        <f>IFERROR(__xludf.DUMMYFUNCTION("GOOGLETRANSLATE(B1262,""en"",""ar"")"),"ينسخ")</f>
        <v>ينسخ</v>
      </c>
    </row>
    <row r="1263" ht="14.25" customHeight="1">
      <c r="A1263" s="5"/>
      <c r="B1263" s="2" t="s">
        <v>1389</v>
      </c>
      <c r="C1263" s="2">
        <v>9.0</v>
      </c>
      <c r="E1263" s="14" t="s">
        <v>1390</v>
      </c>
      <c r="F1263" s="15" t="str">
        <f>IFERROR(__xludf.DUMMYFUNCTION("GOOGLETRANSLATE(B1263,""en"",""ar"")"),"مظلم")</f>
        <v>مظلم</v>
      </c>
    </row>
    <row r="1264" ht="14.25" customHeight="1">
      <c r="A1264" s="5"/>
      <c r="B1264" s="2" t="s">
        <v>1391</v>
      </c>
      <c r="C1264" s="2">
        <v>9.0</v>
      </c>
      <c r="E1264" s="14" t="s">
        <v>13</v>
      </c>
      <c r="F1264" s="15" t="str">
        <f>IFERROR(__xludf.DUMMYFUNCTION("GOOGLETRANSLATE(B1264,""en"",""ar"")"),"اختلف")</f>
        <v>اختلف</v>
      </c>
    </row>
    <row r="1265" ht="14.25" customHeight="1">
      <c r="A1265" s="5"/>
      <c r="B1265" s="2" t="s">
        <v>1392</v>
      </c>
      <c r="C1265" s="2">
        <v>9.0</v>
      </c>
      <c r="E1265" s="14" t="s">
        <v>1393</v>
      </c>
      <c r="F1265" s="15" t="str">
        <f>IFERROR(__xludf.DUMMYFUNCTION("GOOGLETRANSLATE(B1265,""en"",""ar"")"),"مزدوج")</f>
        <v>مزدوج</v>
      </c>
    </row>
    <row r="1266" ht="14.25" customHeight="1">
      <c r="A1266" s="5"/>
      <c r="B1266" s="2" t="s">
        <v>1394</v>
      </c>
      <c r="C1266" s="2">
        <v>9.0</v>
      </c>
      <c r="E1266" s="14" t="s">
        <v>1205</v>
      </c>
      <c r="F1266" s="15" t="str">
        <f>IFERROR(__xludf.DUMMYFUNCTION("GOOGLETRANSLATE(B1266,""en"",""ar"")"),"سحب")</f>
        <v>سحب</v>
      </c>
    </row>
    <row r="1267" ht="14.25" customHeight="1">
      <c r="A1267" s="5"/>
      <c r="B1267" s="2" t="s">
        <v>1395</v>
      </c>
      <c r="C1267" s="2">
        <v>9.0</v>
      </c>
      <c r="E1267" s="14" t="s">
        <v>120</v>
      </c>
      <c r="F1267" s="15" t="str">
        <f>IFERROR(__xludf.DUMMYFUNCTION("GOOGLETRANSLATE(B1267,""en"",""ar"")"),"يسقط")</f>
        <v>يسقط</v>
      </c>
    </row>
    <row r="1268" ht="14.25" customHeight="1">
      <c r="A1268" s="5"/>
      <c r="B1268" s="2" t="s">
        <v>1396</v>
      </c>
      <c r="C1268" s="2">
        <v>9.0</v>
      </c>
      <c r="E1268" s="14" t="s">
        <v>43</v>
      </c>
      <c r="F1268" s="15" t="str">
        <f>IFERROR(__xludf.DUMMYFUNCTION("GOOGLETRANSLATE(B1268,""en"",""ar"")"),"على نحو فعال")</f>
        <v>على نحو فعال</v>
      </c>
    </row>
    <row r="1269" ht="14.25" customHeight="1">
      <c r="A1269" s="5"/>
      <c r="B1269" s="2" t="s">
        <v>1397</v>
      </c>
      <c r="C1269" s="2">
        <v>9.0</v>
      </c>
      <c r="E1269" s="14" t="s">
        <v>80</v>
      </c>
      <c r="F1269" s="15" t="str">
        <f>IFERROR(__xludf.DUMMYFUNCTION("GOOGLETRANSLATE(B1269,""en"",""ar"")"),"تشديد")</f>
        <v>تشديد</v>
      </c>
    </row>
    <row r="1270" ht="14.25" customHeight="1">
      <c r="A1270" s="5"/>
      <c r="B1270" s="2" t="s">
        <v>1398</v>
      </c>
      <c r="C1270" s="2">
        <v>9.0</v>
      </c>
      <c r="E1270" s="14" t="s">
        <v>13</v>
      </c>
      <c r="F1270" s="15" t="str">
        <f>IFERROR(__xludf.DUMMYFUNCTION("GOOGLETRANSLATE(B1270,""en"",""ar"")"),"يشجع")</f>
        <v>يشجع</v>
      </c>
    </row>
    <row r="1271" ht="14.25" customHeight="1">
      <c r="A1271" s="5"/>
      <c r="B1271" s="2" t="s">
        <v>1399</v>
      </c>
      <c r="C1271" s="2">
        <v>9.0</v>
      </c>
      <c r="E1271" s="14" t="s">
        <v>406</v>
      </c>
      <c r="F1271" s="15" t="str">
        <f>IFERROR(__xludf.DUMMYFUNCTION("GOOGLETRANSLATE(B1271,""en"",""ar"")"),"مساو")</f>
        <v>مساو</v>
      </c>
    </row>
    <row r="1272" ht="14.25" customHeight="1">
      <c r="A1272" s="5"/>
      <c r="B1272" s="2" t="s">
        <v>1400</v>
      </c>
      <c r="C1272" s="2">
        <v>9.0</v>
      </c>
      <c r="E1272" s="14" t="s">
        <v>31</v>
      </c>
      <c r="F1272" s="15" t="str">
        <f>IFERROR(__xludf.DUMMYFUNCTION("GOOGLETRANSLATE(B1272,""en"",""ar"")"),"الجميع")</f>
        <v>الجميع</v>
      </c>
    </row>
    <row r="1273" ht="14.25" customHeight="1">
      <c r="A1273" s="5"/>
      <c r="B1273" s="2" t="s">
        <v>1401</v>
      </c>
      <c r="C1273" s="2">
        <v>9.0</v>
      </c>
      <c r="E1273" s="14" t="s">
        <v>13</v>
      </c>
      <c r="F1273" s="15" t="str">
        <f>IFERROR(__xludf.DUMMYFUNCTION("GOOGLETRANSLATE(B1273,""en"",""ar"")"),"وسعت")</f>
        <v>وسعت</v>
      </c>
    </row>
    <row r="1274" ht="14.25" customHeight="1">
      <c r="A1274" s="5"/>
      <c r="B1274" s="2" t="s">
        <v>1402</v>
      </c>
      <c r="C1274" s="2">
        <v>9.0</v>
      </c>
      <c r="E1274" s="14" t="s">
        <v>1403</v>
      </c>
      <c r="F1274" s="15" t="str">
        <f>IFERROR(__xludf.DUMMYFUNCTION("GOOGLETRANSLATE(B1274,""en"",""ar"")"),"شركة")</f>
        <v>شركة</v>
      </c>
    </row>
    <row r="1275" ht="14.25" customHeight="1">
      <c r="A1275" s="5"/>
      <c r="B1275" s="2" t="s">
        <v>1404</v>
      </c>
      <c r="C1275" s="2">
        <v>9.0</v>
      </c>
      <c r="E1275" s="14" t="s">
        <v>1205</v>
      </c>
      <c r="F1275" s="15" t="str">
        <f>IFERROR(__xludf.DUMMYFUNCTION("GOOGLETRANSLATE(B1275,""en"",""ar"")"),"يصلح")</f>
        <v>يصلح</v>
      </c>
    </row>
    <row r="1276" ht="14.25" customHeight="1">
      <c r="A1276" s="5"/>
      <c r="B1276" s="2" t="s">
        <v>1405</v>
      </c>
      <c r="C1276" s="2">
        <v>9.0</v>
      </c>
      <c r="E1276" s="14" t="s">
        <v>180</v>
      </c>
      <c r="F1276" s="15" t="str">
        <f>IFERROR(__xludf.DUMMYFUNCTION("GOOGLETRANSLATE(B1276,""en"",""ar"")"),"متكرر")</f>
        <v>متكرر</v>
      </c>
    </row>
    <row r="1277" ht="14.25" customHeight="1">
      <c r="A1277" s="5"/>
      <c r="B1277" s="2" t="s">
        <v>1406</v>
      </c>
      <c r="C1277" s="2">
        <v>9.0</v>
      </c>
      <c r="E1277" s="14" t="s">
        <v>80</v>
      </c>
      <c r="F1277" s="15" t="str">
        <f>IFERROR(__xludf.DUMMYFUNCTION("GOOGLETRANSLATE(B1277,""en"",""ar"")"),"الطريق السريع")</f>
        <v>الطريق السريع</v>
      </c>
    </row>
    <row r="1278" ht="14.25" customHeight="1">
      <c r="A1278" s="5"/>
      <c r="B1278" s="2" t="s">
        <v>1407</v>
      </c>
      <c r="C1278" s="2">
        <v>9.0</v>
      </c>
      <c r="E1278" s="14" t="s">
        <v>1348</v>
      </c>
      <c r="F1278" s="15" t="str">
        <f>IFERROR(__xludf.DUMMYFUNCTION("GOOGLETRANSLATE(B1278,""en"",""ar"")"),"يؤجر")</f>
        <v>يؤجر</v>
      </c>
    </row>
    <row r="1279" ht="14.25" customHeight="1">
      <c r="A1279" s="5"/>
      <c r="B1279" s="2" t="s">
        <v>1408</v>
      </c>
      <c r="C1279" s="2">
        <v>9.0</v>
      </c>
      <c r="E1279" s="14" t="s">
        <v>43</v>
      </c>
      <c r="F1279" s="15" t="str">
        <f>IFERROR(__xludf.DUMMYFUNCTION("GOOGLETRANSLATE(B1279,""en"",""ar"")"),"بدءًا")</f>
        <v>بدءًا</v>
      </c>
    </row>
    <row r="1280" ht="14.25" customHeight="1">
      <c r="A1280" s="5"/>
      <c r="B1280" s="2" t="s">
        <v>1409</v>
      </c>
      <c r="C1280" s="2">
        <v>9.0</v>
      </c>
      <c r="E1280" s="14" t="s">
        <v>236</v>
      </c>
      <c r="F1280" s="15" t="str">
        <f>IFERROR(__xludf.DUMMYFUNCTION("GOOGLETRANSLATE(B1280,""en"",""ar"")"),"داخلي")</f>
        <v>داخلي</v>
      </c>
    </row>
    <row r="1281" ht="14.25" customHeight="1">
      <c r="A1281" s="5"/>
      <c r="B1281" s="2" t="s">
        <v>1410</v>
      </c>
      <c r="C1281" s="2">
        <v>9.0</v>
      </c>
      <c r="E1281" s="14" t="s">
        <v>95</v>
      </c>
      <c r="F1281" s="15" t="str">
        <f>IFERROR(__xludf.DUMMYFUNCTION("GOOGLETRANSLATE(B1281,""en"",""ar"")"),"انضم")</f>
        <v>انضم</v>
      </c>
    </row>
    <row r="1282" ht="14.25" customHeight="1">
      <c r="A1282" s="5"/>
      <c r="B1282" s="2" t="s">
        <v>1411</v>
      </c>
      <c r="C1282" s="2">
        <v>9.0</v>
      </c>
      <c r="E1282" s="14" t="s">
        <v>1205</v>
      </c>
      <c r="F1282" s="15" t="str">
        <f>IFERROR(__xludf.DUMMYFUNCTION("GOOGLETRANSLATE(B1282,""en"",""ar"")"),"قتل")</f>
        <v>قتل</v>
      </c>
    </row>
    <row r="1283" ht="14.25" customHeight="1">
      <c r="A1283" s="5"/>
      <c r="B1283" s="2" t="s">
        <v>1412</v>
      </c>
      <c r="C1283" s="2">
        <v>9.0</v>
      </c>
      <c r="E1283" s="14" t="s">
        <v>43</v>
      </c>
      <c r="F1283" s="15" t="str">
        <f>IFERROR(__xludf.DUMMYFUNCTION("GOOGLETRANSLATE(B1283,""en"",""ar"")"),"حرفيا")</f>
        <v>حرفيا</v>
      </c>
    </row>
    <row r="1284" ht="14.25" customHeight="1">
      <c r="A1284" s="5"/>
      <c r="B1284" s="2" t="s">
        <v>1413</v>
      </c>
      <c r="C1284" s="2">
        <v>9.0</v>
      </c>
      <c r="E1284" s="14" t="s">
        <v>80</v>
      </c>
      <c r="F1284" s="15" t="str">
        <f>IFERROR(__xludf.DUMMYFUNCTION("GOOGLETRANSLATE(B1284,""en"",""ar"")"),"خسارة")</f>
        <v>خسارة</v>
      </c>
    </row>
    <row r="1285" ht="14.25" customHeight="1">
      <c r="A1285" s="5"/>
      <c r="B1285" s="2" t="s">
        <v>1414</v>
      </c>
      <c r="C1285" s="2">
        <v>9.0</v>
      </c>
      <c r="E1285" s="14" t="s">
        <v>43</v>
      </c>
      <c r="F1285" s="15" t="str">
        <f>IFERROR(__xludf.DUMMYFUNCTION("GOOGLETRANSLATE(B1285,""en"",""ar"")"),"خاصة")</f>
        <v>خاصة</v>
      </c>
    </row>
    <row r="1286" ht="14.25" customHeight="1">
      <c r="A1286" s="5"/>
      <c r="B1286" s="2" t="s">
        <v>1415</v>
      </c>
      <c r="C1286" s="2">
        <v>9.0</v>
      </c>
      <c r="E1286" s="14" t="s">
        <v>80</v>
      </c>
      <c r="F1286" s="15" t="str">
        <f>IFERROR(__xludf.DUMMYFUNCTION("GOOGLETRANSLATE(B1286,""en"",""ar"")"),"عضوية")</f>
        <v>عضوية</v>
      </c>
    </row>
    <row r="1287" ht="14.25" customHeight="1">
      <c r="A1287" s="5"/>
      <c r="B1287" s="2" t="s">
        <v>1416</v>
      </c>
      <c r="C1287" s="2">
        <v>9.0</v>
      </c>
      <c r="E1287" s="14" t="s">
        <v>43</v>
      </c>
      <c r="F1287" s="15" t="str">
        <f>IFERROR(__xludf.DUMMYFUNCTION("GOOGLETRANSLATE(B1287,""en"",""ar"")"),"مُجَرّد")</f>
        <v>مُجَرّد</v>
      </c>
    </row>
    <row r="1288" ht="14.25" customHeight="1">
      <c r="A1288" s="1">
        <v>4.0</v>
      </c>
      <c r="B1288" s="2" t="s">
        <v>1417</v>
      </c>
      <c r="C1288" s="2">
        <v>9.0</v>
      </c>
      <c r="E1288" s="14" t="s">
        <v>149</v>
      </c>
      <c r="F1288" s="15" t="str">
        <f>IFERROR(__xludf.DUMMYFUNCTION("GOOGLETRANSLATE(B1288,""en"",""ar"")"),"الحد الأدنى")</f>
        <v>الحد الأدنى</v>
      </c>
    </row>
    <row r="1289" ht="14.25" customHeight="1">
      <c r="A1289" s="5"/>
      <c r="B1289" s="2" t="s">
        <v>1418</v>
      </c>
      <c r="C1289" s="2">
        <v>9.0</v>
      </c>
      <c r="E1289" s="14" t="s">
        <v>113</v>
      </c>
      <c r="F1289" s="15" t="str">
        <f>IFERROR(__xludf.DUMMYFUNCTION("GOOGLETRANSLATE(B1289,""en"",""ar"")"),"كثير")</f>
        <v>كثير</v>
      </c>
    </row>
    <row r="1290" ht="14.25" customHeight="1">
      <c r="A1290" s="5"/>
      <c r="B1290" s="2" t="s">
        <v>1419</v>
      </c>
      <c r="C1290" s="2">
        <v>9.0</v>
      </c>
      <c r="E1290" s="14" t="s">
        <v>1305</v>
      </c>
      <c r="F1290" s="15" t="str">
        <f>IFERROR(__xludf.DUMMYFUNCTION("GOOGLETRANSLATE(B1290,""en"",""ar"")"),"طريق")</f>
        <v>طريق</v>
      </c>
    </row>
    <row r="1291" ht="14.25" customHeight="1">
      <c r="A1291" s="5"/>
      <c r="B1291" s="2" t="s">
        <v>1420</v>
      </c>
      <c r="C1291" s="2">
        <v>9.0</v>
      </c>
      <c r="E1291" s="14" t="s">
        <v>80</v>
      </c>
      <c r="F1291" s="15" t="str">
        <f>IFERROR(__xludf.DUMMYFUNCTION("GOOGLETRANSLATE(B1291,""en"",""ar"")"),"ملكية")</f>
        <v>ملكية</v>
      </c>
    </row>
    <row r="1292" ht="14.25" customHeight="1">
      <c r="A1292" s="5"/>
      <c r="B1292" s="2" t="s">
        <v>1421</v>
      </c>
      <c r="C1292" s="2">
        <v>9.0</v>
      </c>
      <c r="E1292" s="14" t="s">
        <v>80</v>
      </c>
      <c r="F1292" s="15" t="str">
        <f>IFERROR(__xludf.DUMMYFUNCTION("GOOGLETRANSLATE(B1292,""en"",""ar"")"),"تحضير")</f>
        <v>تحضير</v>
      </c>
    </row>
    <row r="1293" ht="14.25" customHeight="1">
      <c r="A1293" s="5"/>
      <c r="B1293" s="2" t="s">
        <v>1422</v>
      </c>
      <c r="C1293" s="2">
        <v>9.0</v>
      </c>
      <c r="E1293" s="14" t="s">
        <v>1210</v>
      </c>
      <c r="F1293" s="15" t="str">
        <f>IFERROR(__xludf.DUMMYFUNCTION("GOOGLETRANSLATE(B1293,""en"",""ar"")"),"تقدم")</f>
        <v>تقدم</v>
      </c>
    </row>
    <row r="1294" ht="14.25" customHeight="1">
      <c r="A1294" s="5"/>
      <c r="B1294" s="2" t="s">
        <v>1423</v>
      </c>
      <c r="C1294" s="2">
        <v>9.0</v>
      </c>
      <c r="E1294" s="14" t="s">
        <v>120</v>
      </c>
      <c r="F1294" s="15" t="str">
        <f>IFERROR(__xludf.DUMMYFUNCTION("GOOGLETRANSLATE(B1294,""en"",""ar"")"),"مشروع")</f>
        <v>مشروع</v>
      </c>
    </row>
    <row r="1295" ht="14.25" customHeight="1">
      <c r="A1295" s="5"/>
      <c r="B1295" s="2" t="s">
        <v>1424</v>
      </c>
      <c r="C1295" s="2">
        <v>9.0</v>
      </c>
      <c r="E1295" s="14" t="s">
        <v>13</v>
      </c>
      <c r="F1295" s="15" t="str">
        <f>IFERROR(__xludf.DUMMYFUNCTION("GOOGLETRANSLATE(B1295,""en"",""ar"")"),"يثبت")</f>
        <v>يثبت</v>
      </c>
    </row>
    <row r="1296" ht="14.25" customHeight="1">
      <c r="A1296" s="5"/>
      <c r="B1296" s="2" t="s">
        <v>1425</v>
      </c>
      <c r="C1296" s="2">
        <v>9.0</v>
      </c>
      <c r="E1296" s="14" t="s">
        <v>13</v>
      </c>
      <c r="F1296" s="15" t="str">
        <f>IFERROR(__xludf.DUMMYFUNCTION("GOOGLETRANSLATE(B1296,""en"",""ar"")"),"تتفاعل")</f>
        <v>تتفاعل</v>
      </c>
    </row>
    <row r="1297" ht="14.25" customHeight="1">
      <c r="A1297" s="5"/>
      <c r="B1297" s="2" t="s">
        <v>1426</v>
      </c>
      <c r="C1297" s="2">
        <v>9.0</v>
      </c>
      <c r="E1297" s="14" t="s">
        <v>13</v>
      </c>
      <c r="F1297" s="15" t="str">
        <f>IFERROR(__xludf.DUMMYFUNCTION("GOOGLETRANSLATE(B1297,""en"",""ar"")"),"تعرف")</f>
        <v>تعرف</v>
      </c>
    </row>
    <row r="1298" ht="14.25" customHeight="1">
      <c r="A1298" s="5"/>
      <c r="B1298" s="2" t="s">
        <v>1427</v>
      </c>
      <c r="C1298" s="2">
        <v>9.0</v>
      </c>
      <c r="E1298" s="14" t="s">
        <v>13</v>
      </c>
      <c r="F1298" s="15" t="str">
        <f>IFERROR(__xludf.DUMMYFUNCTION("GOOGLETRANSLATE(B1298,""en"",""ar"")"),"يستريح")</f>
        <v>يستريح</v>
      </c>
    </row>
    <row r="1299" ht="14.25" customHeight="1">
      <c r="A1299" s="5"/>
      <c r="B1299" s="2" t="s">
        <v>1428</v>
      </c>
      <c r="C1299" s="2">
        <v>9.0</v>
      </c>
      <c r="E1299" s="14" t="s">
        <v>13</v>
      </c>
      <c r="F1299" s="15" t="str">
        <f>IFERROR(__xludf.DUMMYFUNCTION("GOOGLETRANSLATE(B1299,""en"",""ar"")"),"يحل محل")</f>
        <v>يحل محل</v>
      </c>
    </row>
    <row r="1300" ht="14.25" customHeight="1">
      <c r="A1300" s="5"/>
      <c r="B1300" s="2" t="s">
        <v>1429</v>
      </c>
      <c r="C1300" s="2">
        <v>9.0</v>
      </c>
      <c r="E1300" s="14" t="s">
        <v>1298</v>
      </c>
      <c r="F1300" s="15" t="str">
        <f>IFERROR(__xludf.DUMMYFUNCTION("GOOGLETRANSLATE(B1300,""en"",""ar"")"),"بحر")</f>
        <v>بحر</v>
      </c>
    </row>
    <row r="1301" ht="14.25" customHeight="1">
      <c r="A1301" s="5"/>
      <c r="B1301" s="2" t="s">
        <v>1430</v>
      </c>
      <c r="C1301" s="2">
        <v>9.0</v>
      </c>
      <c r="E1301" s="14" t="s">
        <v>236</v>
      </c>
      <c r="F1301" s="15" t="str">
        <f>IFERROR(__xludf.DUMMYFUNCTION("GOOGLETRANSLATE(B1301,""en"",""ar"")"),"حساس")</f>
        <v>حساس</v>
      </c>
    </row>
    <row r="1302" ht="14.25" customHeight="1">
      <c r="A1302" s="5"/>
      <c r="B1302" s="2" t="s">
        <v>1431</v>
      </c>
      <c r="C1302" s="2">
        <v>9.0</v>
      </c>
      <c r="E1302" s="14" t="s">
        <v>1262</v>
      </c>
      <c r="F1302" s="15" t="str">
        <f>IFERROR(__xludf.DUMMYFUNCTION("GOOGLETRANSLATE(B1302,""en"",""ar"")"),"يجلس")</f>
        <v>يجلس</v>
      </c>
    </row>
    <row r="1303" ht="14.25" customHeight="1">
      <c r="A1303" s="5"/>
      <c r="B1303" s="2" t="s">
        <v>1432</v>
      </c>
      <c r="C1303" s="2">
        <v>9.0</v>
      </c>
      <c r="E1303" s="14" t="s">
        <v>309</v>
      </c>
      <c r="F1303" s="15" t="str">
        <f>IFERROR(__xludf.DUMMYFUNCTION("GOOGLETRANSLATE(B1303,""en"",""ar"")"),"جنوب")</f>
        <v>جنوب</v>
      </c>
    </row>
    <row r="1304" ht="14.25" customHeight="1">
      <c r="A1304" s="5"/>
      <c r="B1304" s="2" t="s">
        <v>1433</v>
      </c>
      <c r="C1304" s="2">
        <v>9.0</v>
      </c>
      <c r="E1304" s="14" t="s">
        <v>149</v>
      </c>
      <c r="F1304" s="15" t="str">
        <f>IFERROR(__xludf.DUMMYFUNCTION("GOOGLETRANSLATE(B1304,""en"",""ar"")"),"الحالة")</f>
        <v>الحالة</v>
      </c>
    </row>
    <row r="1305" ht="14.25" customHeight="1">
      <c r="A1305" s="5"/>
      <c r="B1305" s="2" t="s">
        <v>1434</v>
      </c>
      <c r="C1305" s="2">
        <v>9.0</v>
      </c>
      <c r="E1305" s="14" t="s">
        <v>80</v>
      </c>
      <c r="F1305" s="15" t="str">
        <f>IFERROR(__xludf.DUMMYFUNCTION("GOOGLETRANSLATE(B1305,""en"",""ar"")"),"شريحة لحم")</f>
        <v>شريحة لحم</v>
      </c>
    </row>
    <row r="1306" ht="3.75" customHeight="1">
      <c r="A1306" s="5"/>
      <c r="B1306" s="2" t="s">
        <v>1435</v>
      </c>
      <c r="C1306" s="2">
        <v>9.0</v>
      </c>
      <c r="E1306" s="14" t="s">
        <v>120</v>
      </c>
      <c r="F1306" s="15" t="str">
        <f>IFERROR(__xludf.DUMMYFUNCTION("GOOGLETRANSLATE(B1306,""en"",""ar"")"),"أمور")</f>
        <v>أمور</v>
      </c>
    </row>
    <row r="1307" ht="14.25" customHeight="1">
      <c r="A1307" s="5"/>
      <c r="B1307" s="2" t="s">
        <v>1436</v>
      </c>
      <c r="C1307" s="2">
        <v>9.0</v>
      </c>
      <c r="E1307" s="14" t="s">
        <v>113</v>
      </c>
      <c r="F1307" s="15" t="str">
        <f>IFERROR(__xludf.DUMMYFUNCTION("GOOGLETRANSLATE(B1307,""en"",""ar"")"),"كافٍ")</f>
        <v>كافٍ</v>
      </c>
    </row>
    <row r="1308" ht="14.25" customHeight="1">
      <c r="A1308" s="5"/>
      <c r="B1308" s="2" t="s">
        <v>1437</v>
      </c>
      <c r="C1308" s="2">
        <v>9.0</v>
      </c>
      <c r="E1308" s="14" t="s">
        <v>95</v>
      </c>
      <c r="F1308" s="15" t="str">
        <f>IFERROR(__xludf.DUMMYFUNCTION("GOOGLETRANSLATE(B1308,""en"",""ar"")"),"صنبور")</f>
        <v>صنبور</v>
      </c>
    </row>
    <row r="1309" ht="14.25" customHeight="1">
      <c r="A1309" s="5"/>
      <c r="B1309" s="2" t="s">
        <v>1438</v>
      </c>
      <c r="C1309" s="2">
        <v>9.0</v>
      </c>
      <c r="E1309" s="14" t="s">
        <v>1210</v>
      </c>
      <c r="F1309" s="15" t="str">
        <f>IFERROR(__xludf.DUMMYFUNCTION("GOOGLETRANSLATE(B1309,""en"",""ar"")"),"تذكرة")</f>
        <v>تذكرة</v>
      </c>
    </row>
    <row r="1310" ht="14.25" customHeight="1">
      <c r="A1310" s="5"/>
      <c r="B1310" s="2" t="s">
        <v>1439</v>
      </c>
      <c r="C1310" s="2">
        <v>9.0</v>
      </c>
      <c r="E1310" s="14" t="s">
        <v>120</v>
      </c>
      <c r="F1310" s="15" t="str">
        <f>IFERROR(__xludf.DUMMYFUNCTION("GOOGLETRANSLATE(B1310,""en"",""ar"")"),"جولة")</f>
        <v>جولة</v>
      </c>
    </row>
    <row r="1311" ht="14.25" customHeight="1">
      <c r="A1311" s="5"/>
      <c r="B1311" s="2" t="s">
        <v>1440</v>
      </c>
      <c r="C1311" s="2">
        <v>9.0</v>
      </c>
      <c r="E1311" s="14" t="s">
        <v>80</v>
      </c>
      <c r="F1311" s="15" t="str">
        <f>IFERROR(__xludf.DUMMYFUNCTION("GOOGLETRANSLATE(B1311,""en"",""ar"")"),"اتحاد")</f>
        <v>اتحاد</v>
      </c>
    </row>
    <row r="1312" ht="14.25" customHeight="1">
      <c r="A1312" s="5"/>
      <c r="B1312" s="2" t="s">
        <v>1441</v>
      </c>
      <c r="C1312" s="2">
        <v>9.0</v>
      </c>
      <c r="E1312" s="14" t="s">
        <v>113</v>
      </c>
      <c r="F1312" s="15" t="str">
        <f>IFERROR(__xludf.DUMMYFUNCTION("GOOGLETRANSLATE(B1312,""en"",""ar"")"),"غير عادي")</f>
        <v>غير عادي</v>
      </c>
    </row>
    <row r="1313" ht="14.25" customHeight="1">
      <c r="A1313" s="5"/>
      <c r="B1313" s="2" t="s">
        <v>1442</v>
      </c>
      <c r="C1313" s="2">
        <v>9.0</v>
      </c>
      <c r="E1313" s="14" t="s">
        <v>95</v>
      </c>
      <c r="F1313" s="15" t="str">
        <f>IFERROR(__xludf.DUMMYFUNCTION("GOOGLETRANSLATE(B1313,""en"",""ar"")"),"فوز")</f>
        <v>فوز</v>
      </c>
    </row>
    <row r="1314" ht="14.25" customHeight="1">
      <c r="A1314" s="5"/>
      <c r="B1314" s="2" t="s">
        <v>1443</v>
      </c>
      <c r="C1314" s="2">
        <v>8.0</v>
      </c>
      <c r="E1314" s="14" t="s">
        <v>80</v>
      </c>
      <c r="F1314" s="15" t="str">
        <f>IFERROR(__xludf.DUMMYFUNCTION("GOOGLETRANSLATE(B1314,""en"",""ar"")"),"اتفاق")</f>
        <v>اتفاق</v>
      </c>
    </row>
    <row r="1315" ht="14.25" customHeight="1">
      <c r="A1315" s="5"/>
      <c r="B1315" s="2" t="s">
        <v>1444</v>
      </c>
      <c r="C1315" s="2">
        <v>8.0</v>
      </c>
      <c r="E1315" s="14" t="s">
        <v>120</v>
      </c>
      <c r="F1315" s="15" t="str">
        <f>IFERROR(__xludf.DUMMYFUNCTION("GOOGLETRANSLATE(B1315,""en"",""ar"")"),"زاوية")</f>
        <v>زاوية</v>
      </c>
    </row>
    <row r="1316" ht="14.25" customHeight="1">
      <c r="A1316" s="5"/>
      <c r="B1316" s="2" t="s">
        <v>1445</v>
      </c>
      <c r="C1316" s="2">
        <v>8.0</v>
      </c>
      <c r="E1316" s="14" t="s">
        <v>95</v>
      </c>
      <c r="F1316" s="15" t="str">
        <f>IFERROR(__xludf.DUMMYFUNCTION("GOOGLETRANSLATE(B1316,""en"",""ar"")"),"هجوم")</f>
        <v>هجوم</v>
      </c>
    </row>
    <row r="1317" ht="14.25" customHeight="1">
      <c r="A1317" s="5"/>
      <c r="B1317" s="2" t="s">
        <v>1446</v>
      </c>
      <c r="C1317" s="2">
        <v>8.0</v>
      </c>
      <c r="E1317" s="14" t="s">
        <v>129</v>
      </c>
      <c r="F1317" s="15" t="str">
        <f>IFERROR(__xludf.DUMMYFUNCTION("GOOGLETRANSLATE(B1317,""en"",""ar"")"),"أزرق")</f>
        <v>أزرق</v>
      </c>
    </row>
    <row r="1318" ht="14.25" customHeight="1">
      <c r="A1318" s="5"/>
      <c r="B1318" s="2" t="s">
        <v>1447</v>
      </c>
      <c r="C1318" s="2">
        <v>8.0</v>
      </c>
      <c r="E1318" s="14" t="s">
        <v>13</v>
      </c>
      <c r="F1318" s="15" t="str">
        <f>IFERROR(__xludf.DUMMYFUNCTION("GOOGLETRANSLATE(B1318,""en"",""ar"")"),"اقتراض")</f>
        <v>اقتراض</v>
      </c>
    </row>
    <row r="1319" ht="14.25" customHeight="1">
      <c r="A1319" s="5"/>
      <c r="B1319" s="2" t="s">
        <v>1448</v>
      </c>
      <c r="C1319" s="2">
        <v>8.0</v>
      </c>
      <c r="E1319" s="14" t="s">
        <v>120</v>
      </c>
      <c r="F1319" s="15" t="str">
        <f>IFERROR(__xludf.DUMMYFUNCTION("GOOGLETRANSLATE(B1319,""en"",""ar"")"),"وجبة افطار")</f>
        <v>وجبة افطار</v>
      </c>
    </row>
    <row r="1320" ht="14.25" customHeight="1">
      <c r="A1320" s="5"/>
      <c r="B1320" s="2" t="s">
        <v>1449</v>
      </c>
      <c r="C1320" s="2">
        <v>8.0</v>
      </c>
      <c r="E1320" s="14" t="s">
        <v>80</v>
      </c>
      <c r="F1320" s="15" t="str">
        <f>IFERROR(__xludf.DUMMYFUNCTION("GOOGLETRANSLATE(B1320,""en"",""ar"")"),"سرطان")</f>
        <v>سرطان</v>
      </c>
    </row>
    <row r="1321" ht="14.25" customHeight="1">
      <c r="A1321" s="5"/>
      <c r="B1321" s="2" t="s">
        <v>1450</v>
      </c>
      <c r="C1321" s="2">
        <v>8.0</v>
      </c>
      <c r="E1321" s="14" t="s">
        <v>95</v>
      </c>
      <c r="F1321" s="15" t="str">
        <f>IFERROR(__xludf.DUMMYFUNCTION("GOOGLETRANSLATE(B1321,""en"",""ar"")"),"مطالبة")</f>
        <v>مطالبة</v>
      </c>
    </row>
    <row r="1322" ht="14.25" customHeight="1">
      <c r="A1322" s="5"/>
      <c r="B1322" s="2" t="s">
        <v>1451</v>
      </c>
      <c r="C1322" s="2">
        <v>8.0</v>
      </c>
      <c r="E1322" s="14" t="s">
        <v>1305</v>
      </c>
      <c r="F1322" s="15" t="str">
        <f>IFERROR(__xludf.DUMMYFUNCTION("GOOGLETRANSLATE(B1322,""en"",""ar"")"),"الثقة")</f>
        <v>الثقة</v>
      </c>
    </row>
    <row r="1323" ht="14.25" customHeight="1">
      <c r="A1323" s="5"/>
      <c r="B1323" s="2" t="s">
        <v>1452</v>
      </c>
      <c r="C1323" s="2">
        <v>8.0</v>
      </c>
      <c r="E1323" s="14" t="s">
        <v>113</v>
      </c>
      <c r="F1323" s="15" t="str">
        <f>IFERROR(__xludf.DUMMYFUNCTION("GOOGLETRANSLATE(B1323,""en"",""ar"")"),"ثابتة")</f>
        <v>ثابتة</v>
      </c>
    </row>
    <row r="1324" ht="14.25" customHeight="1">
      <c r="A1324" s="5"/>
      <c r="B1324" s="2" t="s">
        <v>1453</v>
      </c>
      <c r="C1324" s="2">
        <v>8.0</v>
      </c>
      <c r="E1324" s="14" t="s">
        <v>236</v>
      </c>
      <c r="F1324" s="15" t="str">
        <f>IFERROR(__xludf.DUMMYFUNCTION("GOOGLETRANSLATE(B1324,""en"",""ar"")"),"مستمر")</f>
        <v>مستمر</v>
      </c>
    </row>
    <row r="1325" ht="14.25" customHeight="1">
      <c r="A1325" s="5"/>
      <c r="B1325" s="2" t="s">
        <v>1454</v>
      </c>
      <c r="C1325" s="2">
        <v>8.0</v>
      </c>
      <c r="E1325" s="14" t="s">
        <v>113</v>
      </c>
      <c r="F1325" s="15" t="str">
        <f>IFERROR(__xludf.DUMMYFUNCTION("GOOGLETRANSLATE(B1325,""en"",""ar"")"),"ثقافي")</f>
        <v>ثقافي</v>
      </c>
    </row>
    <row r="1326" ht="14.25" customHeight="1">
      <c r="A1326" s="5"/>
      <c r="B1326" s="2" t="s">
        <v>1455</v>
      </c>
      <c r="C1326" s="2">
        <v>8.0</v>
      </c>
      <c r="E1326" s="14" t="s">
        <v>80</v>
      </c>
      <c r="F1326" s="15" t="str">
        <f>IFERROR(__xludf.DUMMYFUNCTION("GOOGLETRANSLATE(B1326,""en"",""ar"")"),"عملة")</f>
        <v>عملة</v>
      </c>
    </row>
    <row r="1327" ht="14.25" customHeight="1">
      <c r="A1327" s="5"/>
      <c r="B1327" s="2" t="s">
        <v>1456</v>
      </c>
      <c r="C1327" s="2">
        <v>8.0</v>
      </c>
      <c r="E1327" s="14" t="s">
        <v>149</v>
      </c>
      <c r="F1327" s="15" t="str">
        <f>IFERROR(__xludf.DUMMYFUNCTION("GOOGLETRANSLATE(B1327,""en"",""ar"")"),"بنت")</f>
        <v>بنت</v>
      </c>
    </row>
    <row r="1328" ht="14.25" customHeight="1">
      <c r="A1328" s="5"/>
      <c r="B1328" s="2" t="s">
        <v>1457</v>
      </c>
      <c r="C1328" s="2">
        <v>8.0</v>
      </c>
      <c r="E1328" s="14" t="s">
        <v>1305</v>
      </c>
      <c r="F1328" s="15" t="str">
        <f>IFERROR(__xludf.DUMMYFUNCTION("GOOGLETRANSLATE(B1328,""en"",""ar"")"),"الدرجة العلمية")</f>
        <v>الدرجة العلمية</v>
      </c>
    </row>
    <row r="1329" ht="14.25" customHeight="1">
      <c r="A1329" s="5"/>
      <c r="B1329" s="2" t="s">
        <v>1458</v>
      </c>
      <c r="C1329" s="2">
        <v>8.0</v>
      </c>
      <c r="E1329" s="14" t="s">
        <v>120</v>
      </c>
      <c r="F1329" s="15" t="str">
        <f>IFERROR(__xludf.DUMMYFUNCTION("GOOGLETRANSLATE(B1329,""en"",""ar"")"),"طبيب")</f>
        <v>طبيب</v>
      </c>
    </row>
    <row r="1330" ht="14.25" customHeight="1">
      <c r="A1330" s="5"/>
      <c r="B1330" s="2" t="s">
        <v>1459</v>
      </c>
      <c r="C1330" s="2">
        <v>8.0</v>
      </c>
      <c r="E1330" s="14" t="s">
        <v>1210</v>
      </c>
      <c r="F1330" s="15" t="str">
        <f>IFERROR(__xludf.DUMMYFUNCTION("GOOGLETRANSLATE(B1330,""en"",""ar"")"),"نقطة")</f>
        <v>نقطة</v>
      </c>
    </row>
    <row r="1331" ht="14.25" customHeight="1">
      <c r="A1331" s="5"/>
      <c r="B1331" s="2" t="s">
        <v>1460</v>
      </c>
      <c r="C1331" s="2">
        <v>8.0</v>
      </c>
      <c r="E1331" s="14" t="s">
        <v>1348</v>
      </c>
      <c r="F1331" s="15" t="str">
        <f>IFERROR(__xludf.DUMMYFUNCTION("GOOGLETRANSLATE(B1331,""en"",""ar"")"),"يجر")</f>
        <v>يجر</v>
      </c>
    </row>
    <row r="1332" ht="14.25" customHeight="1">
      <c r="A1332" s="5"/>
      <c r="B1332" s="2" t="s">
        <v>1461</v>
      </c>
      <c r="C1332" s="2">
        <v>8.0</v>
      </c>
      <c r="E1332" s="14" t="s">
        <v>129</v>
      </c>
      <c r="F1332" s="15" t="str">
        <f>IFERROR(__xludf.DUMMYFUNCTION("GOOGLETRANSLATE(B1332,""en"",""ar"")"),"حلم")</f>
        <v>حلم</v>
      </c>
    </row>
    <row r="1333" ht="14.25" customHeight="1">
      <c r="A1333" s="5"/>
      <c r="B1333" s="2" t="s">
        <v>1462</v>
      </c>
      <c r="C1333" s="2">
        <v>8.0</v>
      </c>
      <c r="E1333" s="14" t="s">
        <v>95</v>
      </c>
      <c r="F1333" s="15" t="str">
        <f>IFERROR(__xludf.DUMMYFUNCTION("GOOGLETRANSLATE(B1333,""en"",""ar"")"),"يشرب")</f>
        <v>يشرب</v>
      </c>
    </row>
    <row r="1334" ht="14.25" customHeight="1">
      <c r="A1334" s="17" t="s">
        <v>1463</v>
      </c>
      <c r="B1334" s="2" t="s">
        <v>1464</v>
      </c>
      <c r="C1334" s="2">
        <v>8.0</v>
      </c>
      <c r="E1334" s="14" t="s">
        <v>1305</v>
      </c>
      <c r="F1334" s="15" t="str">
        <f>IFERROR(__xludf.DUMMYFUNCTION("GOOGLETRANSLATE(B1334,""en"",""ar"")"),"واجب")</f>
        <v>واجب</v>
      </c>
    </row>
    <row r="1335" ht="14.25" customHeight="1">
      <c r="A1335" s="5"/>
      <c r="B1335" s="2" t="s">
        <v>1465</v>
      </c>
      <c r="C1335" s="2">
        <v>8.0</v>
      </c>
      <c r="E1335" s="14" t="s">
        <v>13</v>
      </c>
      <c r="F1335" s="15" t="str">
        <f>IFERROR(__xludf.DUMMYFUNCTION("GOOGLETRANSLATE(B1335,""en"",""ar"")"),"يكسب")</f>
        <v>يكسب</v>
      </c>
    </row>
    <row r="1336" ht="14.25" customHeight="1">
      <c r="A1336" s="5"/>
      <c r="B1336" s="2" t="s">
        <v>1466</v>
      </c>
      <c r="C1336" s="2">
        <v>8.0</v>
      </c>
      <c r="E1336" s="14" t="s">
        <v>13</v>
      </c>
      <c r="F1336" s="15" t="str">
        <f>IFERROR(__xludf.DUMMYFUNCTION("GOOGLETRANSLATE(B1336,""en"",""ar"")"),"يؤكد")</f>
        <v>يؤكد</v>
      </c>
    </row>
    <row r="1337" ht="14.25" customHeight="1">
      <c r="A1337" s="5"/>
      <c r="B1337" s="2" t="s">
        <v>1467</v>
      </c>
      <c r="C1337" s="2">
        <v>8.0</v>
      </c>
      <c r="E1337" s="14" t="s">
        <v>80</v>
      </c>
      <c r="F1337" s="15" t="str">
        <f>IFERROR(__xludf.DUMMYFUNCTION("GOOGLETRANSLATE(B1337,""en"",""ar"")"),"توظيف")</f>
        <v>توظيف</v>
      </c>
    </row>
    <row r="1338" ht="14.25" customHeight="1">
      <c r="A1338" s="5"/>
      <c r="B1338" s="2" t="s">
        <v>1468</v>
      </c>
      <c r="C1338" s="2">
        <v>8.0</v>
      </c>
      <c r="E1338" s="14" t="s">
        <v>13</v>
      </c>
      <c r="F1338" s="15" t="str">
        <f>IFERROR(__xludf.DUMMYFUNCTION("GOOGLETRANSLATE(B1338,""en"",""ar"")"),"يُمكَِن")</f>
        <v>يُمكَِن</v>
      </c>
    </row>
    <row r="1339" ht="14.25" customHeight="1">
      <c r="A1339" s="5"/>
      <c r="B1339" s="2" t="s">
        <v>1469</v>
      </c>
      <c r="C1339" s="2">
        <v>8.0</v>
      </c>
      <c r="E1339" s="14" t="s">
        <v>80</v>
      </c>
      <c r="F1339" s="15" t="str">
        <f>IFERROR(__xludf.DUMMYFUNCTION("GOOGLETRANSLATE(B1339,""en"",""ar"")"),"هندسة")</f>
        <v>هندسة</v>
      </c>
    </row>
    <row r="1340" ht="14.25" customHeight="1">
      <c r="A1340" s="5"/>
      <c r="B1340" s="2" t="s">
        <v>1470</v>
      </c>
      <c r="C1340" s="2">
        <v>8.0</v>
      </c>
      <c r="E1340" s="14" t="s">
        <v>80</v>
      </c>
      <c r="F1340" s="15" t="str">
        <f>IFERROR(__xludf.DUMMYFUNCTION("GOOGLETRANSLATE(B1340,""en"",""ar"")"),"دخول")</f>
        <v>دخول</v>
      </c>
    </row>
    <row r="1341" ht="14.25" customHeight="1">
      <c r="A1341" s="5"/>
      <c r="B1341" s="2" t="s">
        <v>1471</v>
      </c>
      <c r="C1341" s="2">
        <v>8.0</v>
      </c>
      <c r="E1341" s="14" t="s">
        <v>120</v>
      </c>
      <c r="F1341" s="15" t="str">
        <f>IFERROR(__xludf.DUMMYFUNCTION("GOOGLETRANSLATE(B1341,""en"",""ar"")"),"مقال")</f>
        <v>مقال</v>
      </c>
    </row>
    <row r="1342" ht="14.25" customHeight="1">
      <c r="A1342" s="5"/>
      <c r="B1342" s="2" t="s">
        <v>1472</v>
      </c>
      <c r="C1342" s="2">
        <v>8.0</v>
      </c>
      <c r="E1342" s="14" t="s">
        <v>113</v>
      </c>
      <c r="F1342" s="15" t="str">
        <f>IFERROR(__xludf.DUMMYFUNCTION("GOOGLETRANSLATE(B1342,""en"",""ar"")"),"موجود")</f>
        <v>موجود</v>
      </c>
    </row>
    <row r="1343" ht="14.25" customHeight="1">
      <c r="A1343" s="5"/>
      <c r="B1343" s="2" t="s">
        <v>1473</v>
      </c>
      <c r="C1343" s="2">
        <v>8.0</v>
      </c>
      <c r="E1343" s="14" t="s">
        <v>113</v>
      </c>
      <c r="F1343" s="15" t="str">
        <f>IFERROR(__xludf.DUMMYFUNCTION("GOOGLETRANSLATE(B1343,""en"",""ar"")"),"مشهور")</f>
        <v>مشهور</v>
      </c>
    </row>
    <row r="1344" ht="14.25" customHeight="1">
      <c r="A1344" s="5"/>
      <c r="B1344" s="2" t="s">
        <v>1474</v>
      </c>
      <c r="C1344" s="2">
        <v>8.0</v>
      </c>
      <c r="E1344" s="14" t="s">
        <v>120</v>
      </c>
      <c r="F1344" s="15" t="str">
        <f>IFERROR(__xludf.DUMMYFUNCTION("GOOGLETRANSLATE(B1344,""en"",""ar"")"),"الآب")</f>
        <v>الآب</v>
      </c>
    </row>
    <row r="1345" ht="14.25" customHeight="1">
      <c r="A1345" s="5"/>
      <c r="B1345" s="2" t="s">
        <v>1475</v>
      </c>
      <c r="C1345" s="2">
        <v>8.0</v>
      </c>
      <c r="E1345" s="14" t="s">
        <v>120</v>
      </c>
      <c r="F1345" s="15" t="str">
        <f>IFERROR(__xludf.DUMMYFUNCTION("GOOGLETRANSLATE(B1345,""en"",""ar"")"),"مصاريف")</f>
        <v>مصاريف</v>
      </c>
    </row>
    <row r="1346" ht="14.25" customHeight="1">
      <c r="A1346" s="5"/>
      <c r="B1346" s="2" t="s">
        <v>1476</v>
      </c>
      <c r="C1346" s="2">
        <v>8.0</v>
      </c>
      <c r="E1346" s="14" t="s">
        <v>120</v>
      </c>
      <c r="F1346" s="15" t="str">
        <f>IFERROR(__xludf.DUMMYFUNCTION("GOOGLETRANSLATE(B1346,""en"",""ar"")"),"المالية")</f>
        <v>المالية</v>
      </c>
    </row>
    <row r="1347" ht="14.25" customHeight="1">
      <c r="A1347" s="5"/>
      <c r="B1347" s="2" t="s">
        <v>1477</v>
      </c>
      <c r="C1347" s="2">
        <v>8.0</v>
      </c>
      <c r="E1347" s="14" t="s">
        <v>43</v>
      </c>
      <c r="F1347" s="15" t="str">
        <f>IFERROR(__xludf.DUMMYFUNCTION("GOOGLETRANSLATE(B1347,""en"",""ar"")"),"بلطف")</f>
        <v>بلطف</v>
      </c>
    </row>
    <row r="1348" ht="14.25" customHeight="1">
      <c r="A1348" s="5"/>
      <c r="B1348" s="2" t="s">
        <v>1478</v>
      </c>
      <c r="C1348" s="2">
        <v>8.0</v>
      </c>
      <c r="E1348" s="14" t="s">
        <v>1205</v>
      </c>
      <c r="F1348" s="15" t="str">
        <f>IFERROR(__xludf.DUMMYFUNCTION("GOOGLETRANSLATE(B1348,""en"",""ar"")"),"خمن")</f>
        <v>خمن</v>
      </c>
    </row>
    <row r="1349" ht="14.25" customHeight="1">
      <c r="A1349" s="5"/>
      <c r="B1349" s="2" t="s">
        <v>1479</v>
      </c>
      <c r="C1349" s="2">
        <v>8.0</v>
      </c>
      <c r="E1349" s="14" t="s">
        <v>43</v>
      </c>
      <c r="F1349" s="15" t="str">
        <f>IFERROR(__xludf.DUMMYFUNCTION("GOOGLETRANSLATE(B1349,""en"",""ar"")"),"نأمل")</f>
        <v>نأمل</v>
      </c>
    </row>
    <row r="1350" ht="14.25" customHeight="1">
      <c r="A1350" s="5"/>
      <c r="B1350" s="2" t="s">
        <v>1480</v>
      </c>
      <c r="C1350" s="2">
        <v>8.0</v>
      </c>
      <c r="E1350" s="14" t="s">
        <v>1298</v>
      </c>
      <c r="F1350" s="15" t="str">
        <f>IFERROR(__xludf.DUMMYFUNCTION("GOOGLETRANSLATE(B1350,""en"",""ar"")"),"ساعة")</f>
        <v>ساعة</v>
      </c>
    </row>
    <row r="1351" ht="14.25" customHeight="1">
      <c r="A1351" s="5"/>
      <c r="B1351" s="2" t="s">
        <v>1481</v>
      </c>
      <c r="C1351" s="2">
        <v>8.0</v>
      </c>
      <c r="E1351" s="14" t="s">
        <v>80</v>
      </c>
      <c r="F1351" s="15" t="str">
        <f>IFERROR(__xludf.DUMMYFUNCTION("GOOGLETRANSLATE(B1351,""en"",""ar"")"),"التفاعل")</f>
        <v>التفاعل</v>
      </c>
    </row>
    <row r="1352" ht="14.25" customHeight="1">
      <c r="A1352" s="5"/>
      <c r="B1352" s="2" t="s">
        <v>1482</v>
      </c>
      <c r="C1352" s="2">
        <v>8.0</v>
      </c>
      <c r="E1352" s="14" t="s">
        <v>1210</v>
      </c>
      <c r="F1352" s="15" t="str">
        <f>IFERROR(__xludf.DUMMYFUNCTION("GOOGLETRANSLATE(B1352,""en"",""ar"")"),"عصير")</f>
        <v>عصير</v>
      </c>
    </row>
    <row r="1353" ht="14.25" customHeight="1">
      <c r="A1353" s="5"/>
      <c r="B1353" s="2" t="s">
        <v>1483</v>
      </c>
      <c r="C1353" s="2">
        <v>8.0</v>
      </c>
      <c r="E1353" s="14" t="s">
        <v>120</v>
      </c>
      <c r="F1353" s="15" t="str">
        <f>IFERROR(__xludf.DUMMYFUNCTION("GOOGLETRANSLATE(B1353,""en"",""ar"")"),"حد")</f>
        <v>حد</v>
      </c>
    </row>
    <row r="1354" ht="14.25" customHeight="1">
      <c r="A1354" s="5"/>
      <c r="B1354" s="2" t="s">
        <v>1484</v>
      </c>
      <c r="C1354" s="2">
        <v>8.0</v>
      </c>
      <c r="E1354" s="14" t="s">
        <v>1210</v>
      </c>
      <c r="F1354" s="15" t="str">
        <f>IFERROR(__xludf.DUMMYFUNCTION("GOOGLETRANSLATE(B1354,""en"",""ar"")"),"حظ")</f>
        <v>حظ</v>
      </c>
    </row>
    <row r="1355" ht="14.25" customHeight="1">
      <c r="A1355" s="5"/>
      <c r="B1355" s="2" t="s">
        <v>1485</v>
      </c>
      <c r="C1355" s="2">
        <v>8.0</v>
      </c>
      <c r="E1355" s="14" t="s">
        <v>1210</v>
      </c>
      <c r="F1355" s="15" t="str">
        <f>IFERROR(__xludf.DUMMYFUNCTION("GOOGLETRANSLATE(B1355,""en"",""ar"")"),"حليب")</f>
        <v>حليب</v>
      </c>
    </row>
    <row r="1356" ht="14.25" customHeight="1">
      <c r="A1356" s="5"/>
      <c r="B1356" s="2" t="s">
        <v>1486</v>
      </c>
      <c r="C1356" s="2">
        <v>8.0</v>
      </c>
      <c r="E1356" s="14" t="s">
        <v>406</v>
      </c>
      <c r="F1356" s="15" t="str">
        <f>IFERROR(__xludf.DUMMYFUNCTION("GOOGLETRANSLATE(B1356,""en"",""ar"")"),"تحت السن القانوني")</f>
        <v>تحت السن القانوني</v>
      </c>
    </row>
    <row r="1357" ht="14.25" customHeight="1">
      <c r="A1357" s="5"/>
      <c r="B1357" s="2" t="s">
        <v>1487</v>
      </c>
      <c r="C1357" s="2">
        <v>8.0</v>
      </c>
      <c r="E1357" s="14" t="s">
        <v>88</v>
      </c>
      <c r="F1357" s="15" t="str">
        <f>IFERROR(__xludf.DUMMYFUNCTION("GOOGLETRANSLATE(B1357,""en"",""ar"")"),"مختلط")</f>
        <v>مختلط</v>
      </c>
    </row>
    <row r="1358" ht="14.25" customHeight="1">
      <c r="A1358" s="5"/>
      <c r="B1358" s="2" t="s">
        <v>1488</v>
      </c>
      <c r="C1358" s="2">
        <v>8.0</v>
      </c>
      <c r="E1358" s="14" t="s">
        <v>1210</v>
      </c>
      <c r="F1358" s="15" t="str">
        <f>IFERROR(__xludf.DUMMYFUNCTION("GOOGLETRANSLATE(B1358,""en"",""ar"")"),"فم")</f>
        <v>فم</v>
      </c>
    </row>
    <row r="1359" ht="14.25" customHeight="1">
      <c r="A1359" s="5"/>
      <c r="B1359" s="2" t="s">
        <v>1489</v>
      </c>
      <c r="C1359" s="2">
        <v>8.0</v>
      </c>
      <c r="E1359" s="14" t="s">
        <v>6</v>
      </c>
      <c r="F1359" s="15" t="str">
        <f>IFERROR(__xludf.DUMMYFUNCTION("GOOGLETRANSLATE(B1359,""en"",""ar"")"),"ولا")</f>
        <v>ولا</v>
      </c>
    </row>
    <row r="1360" ht="14.25" customHeight="1">
      <c r="A1360" s="5"/>
      <c r="B1360" s="2" t="s">
        <v>1490</v>
      </c>
      <c r="C1360" s="2">
        <v>8.0</v>
      </c>
      <c r="E1360" s="14" t="s">
        <v>13</v>
      </c>
      <c r="F1360" s="15" t="str">
        <f>IFERROR(__xludf.DUMMYFUNCTION("GOOGLETRANSLATE(B1360,""en"",""ar"")"),"العمل")</f>
        <v>العمل</v>
      </c>
    </row>
    <row r="1361" ht="14.25" customHeight="1">
      <c r="A1361" s="5"/>
      <c r="B1361" s="2" t="s">
        <v>1491</v>
      </c>
      <c r="C1361" s="2">
        <v>8.0</v>
      </c>
      <c r="E1361" s="14" t="s">
        <v>43</v>
      </c>
      <c r="F1361" s="15" t="str">
        <f>IFERROR(__xludf.DUMMYFUNCTION("GOOGLETRANSLATE(B1361,""en"",""ar"")"),"في الأصل")</f>
        <v>في الأصل</v>
      </c>
    </row>
    <row r="1362" ht="14.25" customHeight="1">
      <c r="A1362" s="5"/>
      <c r="B1362" s="2" t="s">
        <v>1492</v>
      </c>
      <c r="C1362" s="2">
        <v>8.0</v>
      </c>
      <c r="E1362" s="14" t="s">
        <v>1493</v>
      </c>
      <c r="F1362" s="15" t="str">
        <f>IFERROR(__xludf.DUMMYFUNCTION("GOOGLETRANSLATE(B1362,""en"",""ar"")"),"سلام")</f>
        <v>سلام</v>
      </c>
    </row>
    <row r="1363" ht="14.25" customHeight="1">
      <c r="A1363" s="5"/>
      <c r="B1363" s="2" t="s">
        <v>1494</v>
      </c>
      <c r="C1363" s="2">
        <v>8.0</v>
      </c>
      <c r="E1363" s="14" t="s">
        <v>120</v>
      </c>
      <c r="F1363" s="15" t="str">
        <f>IFERROR(__xludf.DUMMYFUNCTION("GOOGLETRANSLATE(B1363,""en"",""ar"")"),"يضخ")</f>
        <v>يضخ</v>
      </c>
    </row>
    <row r="1364" ht="14.25" customHeight="1">
      <c r="A1364" s="5"/>
      <c r="B1364" s="2" t="s">
        <v>1495</v>
      </c>
      <c r="C1364" s="2">
        <v>8.0</v>
      </c>
      <c r="E1364" s="14" t="s">
        <v>1496</v>
      </c>
      <c r="F1364" s="15" t="str">
        <f>IFERROR(__xludf.DUMMYFUNCTION("GOOGLETRANSLATE(B1364,""en"",""ar"")"),"من فضلك")</f>
        <v>من فضلك</v>
      </c>
    </row>
    <row r="1365" ht="14.25" customHeight="1">
      <c r="A1365" s="5"/>
      <c r="B1365" s="2" t="s">
        <v>1497</v>
      </c>
      <c r="C1365" s="2">
        <v>8.0</v>
      </c>
      <c r="E1365" s="14" t="s">
        <v>80</v>
      </c>
      <c r="F1365" s="15" t="str">
        <f>IFERROR(__xludf.DUMMYFUNCTION("GOOGLETRANSLATE(B1365,""en"",""ar"")"),"التفضيل")</f>
        <v>التفضيل</v>
      </c>
    </row>
    <row r="1366" ht="14.25" customHeight="1">
      <c r="A1366" s="5"/>
      <c r="B1366" s="2" t="s">
        <v>1498</v>
      </c>
      <c r="C1366" s="2">
        <v>8.0</v>
      </c>
      <c r="E1366" s="14" t="s">
        <v>80</v>
      </c>
      <c r="F1366" s="15" t="str">
        <f>IFERROR(__xludf.DUMMYFUNCTION("GOOGLETRANSLATE(B1366,""en"",""ar"")"),"خليط")</f>
        <v>خليط</v>
      </c>
    </row>
    <row r="1367" ht="14.25" customHeight="1">
      <c r="A1367" s="5"/>
      <c r="B1367" s="2" t="s">
        <v>1499</v>
      </c>
      <c r="C1367" s="2">
        <v>8.0</v>
      </c>
      <c r="E1367" s="14" t="s">
        <v>1500</v>
      </c>
      <c r="F1367" s="15" t="str">
        <f>IFERROR(__xludf.DUMMYFUNCTION("GOOGLETRANSLATE(B1367,""en"",""ar"")"),"السابق")</f>
        <v>السابق</v>
      </c>
    </row>
    <row r="1368" ht="14.25" customHeight="1">
      <c r="A1368" s="5"/>
      <c r="B1368" s="2" t="s">
        <v>1501</v>
      </c>
      <c r="C1368" s="2">
        <v>8.0</v>
      </c>
      <c r="E1368" s="14" t="s">
        <v>95</v>
      </c>
      <c r="F1368" s="15" t="str">
        <f>IFERROR(__xludf.DUMMYFUNCTION("GOOGLETRANSLATE(B1368,""en"",""ar"")"),"يحذب")</f>
        <v>يحذب</v>
      </c>
    </row>
    <row r="1369" ht="14.25" customHeight="1">
      <c r="A1369" s="5"/>
      <c r="B1369" s="2" t="s">
        <v>1502</v>
      </c>
      <c r="C1369" s="2">
        <v>8.0</v>
      </c>
      <c r="E1369" s="14" t="s">
        <v>113</v>
      </c>
      <c r="F1369" s="15" t="str">
        <f>IFERROR(__xludf.DUMMYFUNCTION("GOOGLETRANSLATE(B1369,""en"",""ar"")"),"نقي")</f>
        <v>نقي</v>
      </c>
    </row>
    <row r="1370" ht="14.25" customHeight="1">
      <c r="A1370" s="5"/>
      <c r="B1370" s="2" t="s">
        <v>1503</v>
      </c>
      <c r="C1370" s="2">
        <v>8.0</v>
      </c>
      <c r="E1370" s="14" t="s">
        <v>1390</v>
      </c>
      <c r="F1370" s="15" t="str">
        <f>IFERROR(__xludf.DUMMYFUNCTION("GOOGLETRANSLATE(B1370,""en"",""ar"")"),"الخام")</f>
        <v>الخام</v>
      </c>
    </row>
    <row r="1371" ht="14.25" customHeight="1">
      <c r="A1371" s="5"/>
      <c r="B1371" s="2" t="s">
        <v>1504</v>
      </c>
      <c r="C1371" s="2">
        <v>8.0</v>
      </c>
      <c r="E1371" s="14" t="s">
        <v>13</v>
      </c>
      <c r="F1371" s="15" t="str">
        <f>IFERROR(__xludf.DUMMYFUNCTION("GOOGLETRANSLATE(B1371,""en"",""ar"")"),"يعكس")</f>
        <v>يعكس</v>
      </c>
    </row>
    <row r="1372" ht="14.25" customHeight="1">
      <c r="A1372" s="5"/>
      <c r="B1372" s="2" t="s">
        <v>1505</v>
      </c>
      <c r="C1372" s="2">
        <v>8.0</v>
      </c>
      <c r="E1372" s="14" t="s">
        <v>80</v>
      </c>
      <c r="F1372" s="15" t="str">
        <f>IFERROR(__xludf.DUMMYFUNCTION("GOOGLETRANSLATE(B1372,""en"",""ar"")"),"منطقة")</f>
        <v>منطقة</v>
      </c>
    </row>
    <row r="1373" ht="14.25" customHeight="1">
      <c r="A1373" s="5"/>
      <c r="B1373" s="2" t="s">
        <v>1506</v>
      </c>
      <c r="C1373" s="2">
        <v>8.0</v>
      </c>
      <c r="E1373" s="14" t="s">
        <v>80</v>
      </c>
      <c r="F1373" s="15" t="str">
        <f>IFERROR(__xludf.DUMMYFUNCTION("GOOGLETRANSLATE(B1373,""en"",""ar"")"),"جمهورية")</f>
        <v>جمهورية</v>
      </c>
    </row>
    <row r="1374" ht="14.25" customHeight="1">
      <c r="A1374" s="5"/>
      <c r="B1374" s="2" t="s">
        <v>1507</v>
      </c>
      <c r="C1374" s="2">
        <v>8.0</v>
      </c>
      <c r="E1374" s="14" t="s">
        <v>43</v>
      </c>
      <c r="F1374" s="15" t="str">
        <f>IFERROR(__xludf.DUMMYFUNCTION("GOOGLETRANSLATE(B1374,""en"",""ar"")"),"بقسوة")</f>
        <v>بقسوة</v>
      </c>
    </row>
    <row r="1375" ht="14.25" customHeight="1">
      <c r="A1375" s="5"/>
      <c r="B1375" s="2" t="s">
        <v>1508</v>
      </c>
      <c r="C1375" s="2">
        <v>8.0</v>
      </c>
      <c r="E1375" s="14" t="s">
        <v>120</v>
      </c>
      <c r="F1375" s="15" t="str">
        <f>IFERROR(__xludf.DUMMYFUNCTION("GOOGLETRANSLATE(B1375,""en"",""ar"")"),"مقعد")</f>
        <v>مقعد</v>
      </c>
    </row>
    <row r="1376" ht="14.25" customHeight="1">
      <c r="A1376" s="5"/>
      <c r="B1376" s="2" t="s">
        <v>1509</v>
      </c>
      <c r="C1376" s="2">
        <v>8.0</v>
      </c>
      <c r="E1376" s="14" t="s">
        <v>13</v>
      </c>
      <c r="F1376" s="15" t="str">
        <f>IFERROR(__xludf.DUMMYFUNCTION("GOOGLETRANSLATE(B1376,""en"",""ar"")"),"إرسال")</f>
        <v>إرسال</v>
      </c>
    </row>
    <row r="1377" ht="14.25" customHeight="1">
      <c r="A1377" s="5"/>
      <c r="B1377" s="2" t="s">
        <v>1510</v>
      </c>
      <c r="C1377" s="2">
        <v>8.0</v>
      </c>
      <c r="E1377" s="14" t="s">
        <v>43</v>
      </c>
      <c r="F1377" s="15" t="str">
        <f>IFERROR(__xludf.DUMMYFUNCTION("GOOGLETRANSLATE(B1377,""en"",""ar"")"),"بشكل كبير")</f>
        <v>بشكل كبير</v>
      </c>
    </row>
    <row r="1378" ht="14.25" customHeight="1">
      <c r="A1378" s="5"/>
      <c r="B1378" s="2" t="s">
        <v>1511</v>
      </c>
      <c r="C1378" s="2">
        <v>8.0</v>
      </c>
      <c r="E1378" s="14" t="s">
        <v>127</v>
      </c>
      <c r="F1378" s="15" t="str">
        <f>IFERROR(__xludf.DUMMYFUNCTION("GOOGLETRANSLATE(B1378,""en"",""ar"")"),"لين")</f>
        <v>لين</v>
      </c>
    </row>
    <row r="1379" ht="14.25" customHeight="1">
      <c r="A1379" s="5"/>
      <c r="B1379" s="2" t="s">
        <v>1512</v>
      </c>
      <c r="C1379" s="2">
        <v>8.0</v>
      </c>
      <c r="E1379" s="14" t="s">
        <v>236</v>
      </c>
      <c r="F1379" s="15" t="str">
        <f>IFERROR(__xludf.DUMMYFUNCTION("GOOGLETRANSLATE(B1379,""en"",""ar"")"),"صلب")</f>
        <v>صلب</v>
      </c>
    </row>
    <row r="1380" ht="14.25" customHeight="1">
      <c r="A1380" s="5"/>
      <c r="B1380" s="2" t="s">
        <v>1513</v>
      </c>
      <c r="C1380" s="2">
        <v>8.0</v>
      </c>
      <c r="E1380" s="14" t="s">
        <v>120</v>
      </c>
      <c r="F1380" s="15" t="str">
        <f>IFERROR(__xludf.DUMMYFUNCTION("GOOGLETRANSLATE(B1380,""en"",""ar"")"),"مستقر")</f>
        <v>مستقر</v>
      </c>
    </row>
    <row r="1381" ht="14.25" customHeight="1">
      <c r="A1381" s="5"/>
      <c r="B1381" s="2" t="s">
        <v>1514</v>
      </c>
      <c r="C1381" s="2">
        <v>8.0</v>
      </c>
      <c r="E1381" s="14" t="s">
        <v>1210</v>
      </c>
      <c r="F1381" s="15" t="str">
        <f>IFERROR(__xludf.DUMMYFUNCTION("GOOGLETRANSLATE(B1381,""en"",""ar"")"),"عاصفه")</f>
        <v>عاصفه</v>
      </c>
    </row>
    <row r="1382" ht="14.25" customHeight="1">
      <c r="A1382" s="5"/>
      <c r="B1382" s="2" t="s">
        <v>1515</v>
      </c>
      <c r="C1382" s="2">
        <v>8.0</v>
      </c>
      <c r="E1382" s="14" t="s">
        <v>1305</v>
      </c>
      <c r="F1382" s="15" t="str">
        <f>IFERROR(__xludf.DUMMYFUNCTION("GOOGLETRANSLATE(B1382,""en"",""ar"")"),"مستوى")</f>
        <v>مستوى</v>
      </c>
    </row>
    <row r="1383" ht="14.25" customHeight="1">
      <c r="A1383" s="5"/>
      <c r="B1383" s="2" t="s">
        <v>1516</v>
      </c>
      <c r="C1383" s="2">
        <v>8.0</v>
      </c>
      <c r="E1383" s="14" t="s">
        <v>129</v>
      </c>
      <c r="F1383" s="15" t="str">
        <f>IFERROR(__xludf.DUMMYFUNCTION("GOOGLETRANSLATE(B1383,""en"",""ar"")"),"فريق")</f>
        <v>فريق</v>
      </c>
    </row>
    <row r="1384" ht="14.25" customHeight="1">
      <c r="A1384" s="5"/>
      <c r="B1384" s="2" t="s">
        <v>1517</v>
      </c>
      <c r="C1384" s="2">
        <v>8.0</v>
      </c>
      <c r="E1384" s="14" t="s">
        <v>80</v>
      </c>
      <c r="F1384" s="15" t="str">
        <f>IFERROR(__xludf.DUMMYFUNCTION("GOOGLETRANSLATE(B1384,""en"",""ar"")"),"التقليد")</f>
        <v>التقليد</v>
      </c>
    </row>
    <row r="1385" ht="14.25" customHeight="1">
      <c r="A1385" s="5"/>
      <c r="B1385" s="2" t="s">
        <v>1518</v>
      </c>
      <c r="C1385" s="2">
        <v>8.0</v>
      </c>
      <c r="E1385" s="14" t="s">
        <v>1284</v>
      </c>
      <c r="F1385" s="15" t="str">
        <f>IFERROR(__xludf.DUMMYFUNCTION("GOOGLETRANSLATE(B1385,""en"",""ar"")"),"حيلة")</f>
        <v>حيلة</v>
      </c>
    </row>
    <row r="1386" ht="14.25" customHeight="1">
      <c r="A1386" s="5"/>
      <c r="B1386" s="2" t="s">
        <v>1519</v>
      </c>
      <c r="C1386" s="2">
        <v>8.0</v>
      </c>
      <c r="E1386" s="14" t="s">
        <v>80</v>
      </c>
      <c r="F1386" s="15" t="str">
        <f>IFERROR(__xludf.DUMMYFUNCTION("GOOGLETRANSLATE(B1386,""en"",""ar"")"),"فايروس")</f>
        <v>فايروس</v>
      </c>
    </row>
    <row r="1387" ht="14.25" customHeight="1">
      <c r="A1387" s="5"/>
      <c r="B1387" s="2" t="s">
        <v>1520</v>
      </c>
      <c r="C1387" s="2">
        <v>8.0</v>
      </c>
      <c r="E1387" s="14" t="s">
        <v>1205</v>
      </c>
      <c r="F1387" s="15" t="str">
        <f>IFERROR(__xludf.DUMMYFUNCTION("GOOGLETRANSLATE(B1387,""en"",""ar"")"),"يرتدي")</f>
        <v>يرتدي</v>
      </c>
    </row>
    <row r="1388" ht="14.25" customHeight="1">
      <c r="A1388" s="5"/>
      <c r="B1388" s="2" t="s">
        <v>1521</v>
      </c>
      <c r="C1388" s="2">
        <v>8.0</v>
      </c>
      <c r="E1388" s="14" t="s">
        <v>236</v>
      </c>
      <c r="F1388" s="15" t="str">
        <f>IFERROR(__xludf.DUMMYFUNCTION("GOOGLETRANSLATE(B1388,""en"",""ar"")"),"عجيب")</f>
        <v>عجيب</v>
      </c>
    </row>
    <row r="1389" ht="14.25" customHeight="1">
      <c r="A1389" s="5"/>
      <c r="B1389" s="2" t="s">
        <v>1522</v>
      </c>
      <c r="C1389" s="2">
        <v>8.0</v>
      </c>
      <c r="E1389" s="14" t="s">
        <v>1205</v>
      </c>
      <c r="F1389" s="15" t="str">
        <f>IFERROR(__xludf.DUMMYFUNCTION("GOOGLETRANSLATE(B1389,""en"",""ar"")"),"يتعجب")</f>
        <v>يتعجب</v>
      </c>
    </row>
    <row r="1390" ht="14.25" customHeight="1">
      <c r="A1390" s="5"/>
      <c r="B1390" s="2" t="s">
        <v>1523</v>
      </c>
      <c r="C1390" s="2">
        <v>7.0</v>
      </c>
      <c r="E1390" s="14" t="s">
        <v>80</v>
      </c>
      <c r="F1390" s="15" t="str">
        <f>IFERROR(__xludf.DUMMYFUNCTION("GOOGLETRANSLATE(B1390,""en"",""ar"")"),"الممثل")</f>
        <v>الممثل</v>
      </c>
    </row>
    <row r="1391" ht="14.25" customHeight="1">
      <c r="A1391" s="5"/>
      <c r="B1391" s="2" t="s">
        <v>1524</v>
      </c>
      <c r="C1391" s="2">
        <v>7.0</v>
      </c>
      <c r="E1391" s="14" t="s">
        <v>113</v>
      </c>
      <c r="F1391" s="15" t="str">
        <f>IFERROR(__xludf.DUMMYFUNCTION("GOOGLETRANSLATE(B1391,""en"",""ar"")"),"خائف")</f>
        <v>خائف</v>
      </c>
    </row>
    <row r="1392" ht="14.25" customHeight="1">
      <c r="A1392" s="5"/>
      <c r="B1392" s="2" t="s">
        <v>1525</v>
      </c>
      <c r="C1392" s="2">
        <v>7.0</v>
      </c>
      <c r="E1392" s="14" t="s">
        <v>149</v>
      </c>
      <c r="F1392" s="15" t="str">
        <f>IFERROR(__xludf.DUMMYFUNCTION("GOOGLETRANSLATE(B1392,""en"",""ar"")"),"بعد الظهر")</f>
        <v>بعد الظهر</v>
      </c>
    </row>
    <row r="1393" ht="14.25" customHeight="1">
      <c r="A1393" s="5"/>
      <c r="B1393" s="2" t="s">
        <v>1526</v>
      </c>
      <c r="C1393" s="2">
        <v>7.0</v>
      </c>
      <c r="E1393" s="14" t="s">
        <v>180</v>
      </c>
      <c r="F1393" s="15" t="str">
        <f>IFERROR(__xludf.DUMMYFUNCTION("GOOGLETRANSLATE(B1393,""en"",""ar"")"),"رائعة حقا")</f>
        <v>رائعة حقا</v>
      </c>
    </row>
    <row r="1394" ht="14.25" customHeight="1">
      <c r="A1394" s="5"/>
      <c r="B1394" s="2" t="s">
        <v>1527</v>
      </c>
      <c r="C1394" s="2">
        <v>7.0</v>
      </c>
      <c r="E1394" s="14" t="s">
        <v>236</v>
      </c>
      <c r="F1394" s="15" t="str">
        <f>IFERROR(__xludf.DUMMYFUNCTION("GOOGLETRANSLATE(B1394,""en"",""ar"")"),"سنوي")</f>
        <v>سنوي</v>
      </c>
    </row>
    <row r="1395" ht="14.25" customHeight="1">
      <c r="A1395" s="5"/>
      <c r="B1395" s="2" t="s">
        <v>1528</v>
      </c>
      <c r="C1395" s="2">
        <v>7.0</v>
      </c>
      <c r="E1395" s="14" t="s">
        <v>13</v>
      </c>
      <c r="F1395" s="15" t="str">
        <f>IFERROR(__xludf.DUMMYFUNCTION("GOOGLETRANSLATE(B1395,""en"",""ar"")"),"يتوقع")</f>
        <v>يتوقع</v>
      </c>
    </row>
    <row r="1396" ht="14.25" customHeight="1">
      <c r="A1396" s="5"/>
      <c r="B1396" s="2" t="s">
        <v>1529</v>
      </c>
      <c r="C1396" s="2">
        <v>7.0</v>
      </c>
      <c r="E1396" s="14" t="s">
        <v>13</v>
      </c>
      <c r="F1396" s="15" t="str">
        <f>IFERROR(__xludf.DUMMYFUNCTION("GOOGLETRANSLATE(B1396,""en"",""ar"")"),"يفترض")</f>
        <v>يفترض</v>
      </c>
    </row>
    <row r="1397" ht="14.25" customHeight="1">
      <c r="A1397" s="5"/>
      <c r="B1397" s="2" t="s">
        <v>1530</v>
      </c>
      <c r="C1397" s="2">
        <v>7.0</v>
      </c>
      <c r="E1397" s="14" t="s">
        <v>120</v>
      </c>
      <c r="F1397" s="15" t="str">
        <f>IFERROR(__xludf.DUMMYFUNCTION("GOOGLETRANSLATE(B1397,""en"",""ar"")"),"مضرب")</f>
        <v>مضرب</v>
      </c>
    </row>
    <row r="1398" ht="14.25" customHeight="1">
      <c r="A1398" s="5"/>
      <c r="B1398" s="2" t="s">
        <v>1531</v>
      </c>
      <c r="C1398" s="2">
        <v>7.0</v>
      </c>
      <c r="E1398" s="14" t="s">
        <v>120</v>
      </c>
      <c r="F1398" s="15" t="str">
        <f>IFERROR(__xludf.DUMMYFUNCTION("GOOGLETRANSLATE(B1398,""en"",""ar"")"),"شاطئ بحر")</f>
        <v>شاطئ بحر</v>
      </c>
    </row>
    <row r="1399" ht="14.25" customHeight="1">
      <c r="A1399" s="5"/>
      <c r="B1399" s="2" t="s">
        <v>1532</v>
      </c>
      <c r="C1399" s="2">
        <v>7.0</v>
      </c>
      <c r="E1399" s="14" t="s">
        <v>129</v>
      </c>
      <c r="F1399" s="15" t="str">
        <f>IFERROR(__xludf.DUMMYFUNCTION("GOOGLETRANSLATE(B1399,""en"",""ar"")"),"فارغ")</f>
        <v>فارغ</v>
      </c>
    </row>
    <row r="1400" ht="14.25" customHeight="1">
      <c r="A1400" s="5"/>
      <c r="B1400" s="2" t="s">
        <v>1533</v>
      </c>
      <c r="C1400" s="2">
        <v>7.0</v>
      </c>
      <c r="E1400" s="14" t="s">
        <v>180</v>
      </c>
      <c r="F1400" s="15" t="str">
        <f>IFERROR(__xludf.DUMMYFUNCTION("GOOGLETRANSLATE(B1400,""en"",""ar"")"),"مشغول")</f>
        <v>مشغول</v>
      </c>
    </row>
    <row r="1401" ht="14.25" customHeight="1">
      <c r="A1401" s="5"/>
      <c r="B1401" s="2" t="s">
        <v>1534</v>
      </c>
      <c r="C1401" s="2">
        <v>7.0</v>
      </c>
      <c r="E1401" s="14" t="s">
        <v>120</v>
      </c>
      <c r="F1401" s="15" t="str">
        <f>IFERROR(__xludf.DUMMYFUNCTION("GOOGLETRANSLATE(B1401,""en"",""ar"")"),"قبض على")</f>
        <v>قبض على</v>
      </c>
    </row>
    <row r="1402" ht="14.25" customHeight="1">
      <c r="A1402" s="5"/>
      <c r="B1402" s="2" t="s">
        <v>1535</v>
      </c>
      <c r="C1402" s="2">
        <v>7.0</v>
      </c>
      <c r="E1402" s="14" t="s">
        <v>120</v>
      </c>
      <c r="F1402" s="15" t="str">
        <f>IFERROR(__xludf.DUMMYFUNCTION("GOOGLETRANSLATE(B1402,""en"",""ar"")"),"سلسلة")</f>
        <v>سلسلة</v>
      </c>
    </row>
    <row r="1403" ht="14.25" customHeight="1">
      <c r="A1403" s="5"/>
      <c r="B1403" s="2" t="s">
        <v>1536</v>
      </c>
      <c r="C1403" s="2">
        <v>7.0</v>
      </c>
      <c r="E1403" s="14" t="s">
        <v>80</v>
      </c>
      <c r="F1403" s="15" t="str">
        <f>IFERROR(__xludf.DUMMYFUNCTION("GOOGLETRANSLATE(B1403,""en"",""ar"")"),"قاعة الدراسة")</f>
        <v>قاعة الدراسة</v>
      </c>
    </row>
    <row r="1404" ht="14.25" customHeight="1">
      <c r="A1404" s="5"/>
      <c r="B1404" s="2" t="s">
        <v>1537</v>
      </c>
      <c r="C1404" s="2">
        <v>7.0</v>
      </c>
      <c r="E1404" s="14" t="s">
        <v>1305</v>
      </c>
      <c r="F1404" s="15" t="str">
        <f>IFERROR(__xludf.DUMMYFUNCTION("GOOGLETRANSLATE(B1404,""en"",""ar"")"),"الاعتبار")</f>
        <v>الاعتبار</v>
      </c>
    </row>
    <row r="1405" ht="14.25" customHeight="1">
      <c r="A1405" s="5"/>
      <c r="B1405" s="2" t="s">
        <v>1538</v>
      </c>
      <c r="C1405" s="2">
        <v>7.0</v>
      </c>
      <c r="E1405" s="14" t="s">
        <v>1348</v>
      </c>
      <c r="F1405" s="15" t="str">
        <f>IFERROR(__xludf.DUMMYFUNCTION("GOOGLETRANSLATE(B1405,""en"",""ar"")"),"عدد")</f>
        <v>عدد</v>
      </c>
    </row>
    <row r="1406" ht="14.25" customHeight="1">
      <c r="A1406" s="5"/>
      <c r="B1406" s="2" t="s">
        <v>1539</v>
      </c>
      <c r="C1406" s="2">
        <v>7.0</v>
      </c>
      <c r="E1406" s="14" t="s">
        <v>1231</v>
      </c>
      <c r="F1406" s="15" t="str">
        <f>IFERROR(__xludf.DUMMYFUNCTION("GOOGLETRANSLATE(B1406,""en"",""ar"")"),"كريم")</f>
        <v>كريم</v>
      </c>
    </row>
    <row r="1407" ht="14.25" customHeight="1">
      <c r="A1407" s="5"/>
      <c r="B1407" s="2" t="s">
        <v>1540</v>
      </c>
      <c r="C1407" s="2">
        <v>7.0</v>
      </c>
      <c r="E1407" s="14" t="s">
        <v>120</v>
      </c>
      <c r="F1407" s="15" t="str">
        <f>IFERROR(__xludf.DUMMYFUNCTION("GOOGLETRANSLATE(B1407,""en"",""ar"")"),"طاقم")</f>
        <v>طاقم</v>
      </c>
    </row>
    <row r="1408" ht="14.25" customHeight="1">
      <c r="A1408" s="5"/>
      <c r="B1408" s="2" t="s">
        <v>1541</v>
      </c>
      <c r="C1408" s="2">
        <v>7.0</v>
      </c>
      <c r="E1408" s="14" t="s">
        <v>1542</v>
      </c>
      <c r="F1408" s="15" t="str">
        <f>IFERROR(__xludf.DUMMYFUNCTION("GOOGLETRANSLATE(B1408,""en"",""ar"")"),"في ذمة الله تعالى")</f>
        <v>في ذمة الله تعالى</v>
      </c>
    </row>
    <row r="1409" ht="14.25" customHeight="1">
      <c r="A1409" s="5"/>
      <c r="B1409" s="2" t="s">
        <v>1543</v>
      </c>
      <c r="C1409" s="2">
        <v>7.0</v>
      </c>
      <c r="E1409" s="14" t="s">
        <v>80</v>
      </c>
      <c r="F1409" s="15" t="str">
        <f>IFERROR(__xludf.DUMMYFUNCTION("GOOGLETRANSLATE(B1409,""en"",""ar"")"),"توصيل")</f>
        <v>توصيل</v>
      </c>
    </row>
    <row r="1410" ht="14.25" customHeight="1">
      <c r="A1410" s="5"/>
      <c r="B1410" s="2" t="s">
        <v>1544</v>
      </c>
      <c r="C1410" s="2">
        <v>7.0</v>
      </c>
      <c r="E1410" s="14" t="s">
        <v>1210</v>
      </c>
      <c r="F1410" s="15" t="str">
        <f>IFERROR(__xludf.DUMMYFUNCTION("GOOGLETRANSLATE(B1410,""en"",""ar"")"),"التفاصيل")</f>
        <v>التفاصيل</v>
      </c>
    </row>
    <row r="1411" ht="14.25" customHeight="1">
      <c r="A1411" s="5"/>
      <c r="B1411" s="2" t="s">
        <v>1545</v>
      </c>
      <c r="C1411" s="2">
        <v>7.0</v>
      </c>
      <c r="E1411" s="14" t="s">
        <v>88</v>
      </c>
      <c r="F1411" s="15" t="str">
        <f>IFERROR(__xludf.DUMMYFUNCTION("GOOGLETRANSLATE(B1411,""en"",""ar"")"),"مفصلة")</f>
        <v>مفصلة</v>
      </c>
    </row>
    <row r="1412" ht="14.25" customHeight="1">
      <c r="A1412" s="5"/>
      <c r="B1412" s="2" t="s">
        <v>1546</v>
      </c>
      <c r="C1412" s="2">
        <v>7.0</v>
      </c>
      <c r="E1412" s="14" t="s">
        <v>80</v>
      </c>
      <c r="F1412" s="15" t="str">
        <f>IFERROR(__xludf.DUMMYFUNCTION("GOOGLETRANSLATE(B1412,""en"",""ar"")"),"جهاز")</f>
        <v>جهاز</v>
      </c>
    </row>
    <row r="1413" ht="14.25" customHeight="1">
      <c r="A1413" s="5"/>
      <c r="B1413" s="2" t="s">
        <v>1547</v>
      </c>
      <c r="C1413" s="2">
        <v>7.0</v>
      </c>
      <c r="E1413" s="14" t="s">
        <v>80</v>
      </c>
      <c r="F1413" s="15" t="str">
        <f>IFERROR(__xludf.DUMMYFUNCTION("GOOGLETRANSLATE(B1413,""en"",""ar"")"),"صعوبة")</f>
        <v>صعوبة</v>
      </c>
    </row>
    <row r="1414" ht="14.25" customHeight="1">
      <c r="A1414" s="5"/>
      <c r="B1414" s="2" t="s">
        <v>1548</v>
      </c>
      <c r="C1414" s="2">
        <v>7.0</v>
      </c>
      <c r="E1414" s="14" t="s">
        <v>1205</v>
      </c>
      <c r="F1414" s="15" t="str">
        <f>IFERROR(__xludf.DUMMYFUNCTION("GOOGLETRANSLATE(B1414,""en"",""ar"")"),"شك")</f>
        <v>شك</v>
      </c>
    </row>
    <row r="1415" ht="14.25" customHeight="1">
      <c r="A1415" s="5"/>
      <c r="B1415" s="2" t="s">
        <v>1549</v>
      </c>
      <c r="C1415" s="2">
        <v>7.0</v>
      </c>
      <c r="E1415" s="14" t="s">
        <v>80</v>
      </c>
      <c r="F1415" s="15" t="str">
        <f>IFERROR(__xludf.DUMMYFUNCTION("GOOGLETRANSLATE(B1415,""en"",""ar"")"),"دراما")</f>
        <v>دراما</v>
      </c>
    </row>
    <row r="1416" ht="14.25" customHeight="1">
      <c r="A1416" s="5"/>
      <c r="B1416" s="2" t="s">
        <v>1550</v>
      </c>
      <c r="C1416" s="2">
        <v>7.0</v>
      </c>
      <c r="E1416" s="14" t="s">
        <v>80</v>
      </c>
      <c r="F1416" s="15" t="str">
        <f>IFERROR(__xludf.DUMMYFUNCTION("GOOGLETRANSLATE(B1416,""en"",""ar"")"),"انتخاب")</f>
        <v>انتخاب</v>
      </c>
    </row>
    <row r="1417" ht="14.25" customHeight="1">
      <c r="A1417" s="5"/>
      <c r="B1417" s="2" t="s">
        <v>1551</v>
      </c>
      <c r="C1417" s="2">
        <v>7.0</v>
      </c>
      <c r="E1417" s="14" t="s">
        <v>13</v>
      </c>
      <c r="F1417" s="15" t="str">
        <f>IFERROR(__xludf.DUMMYFUNCTION("GOOGLETRANSLATE(B1417,""en"",""ar"")"),"يشترك - ينخرط")</f>
        <v>يشترك - ينخرط</v>
      </c>
    </row>
    <row r="1418" ht="14.25" customHeight="1">
      <c r="A1418" s="5"/>
      <c r="B1418" s="2" t="s">
        <v>1552</v>
      </c>
      <c r="C1418" s="2">
        <v>7.0</v>
      </c>
      <c r="E1418" s="14" t="s">
        <v>80</v>
      </c>
      <c r="F1418" s="15" t="str">
        <f>IFERROR(__xludf.DUMMYFUNCTION("GOOGLETRANSLATE(B1418,""en"",""ar"")"),"محرك")</f>
        <v>محرك</v>
      </c>
    </row>
    <row r="1419" ht="14.25" customHeight="1">
      <c r="A1419" s="5"/>
      <c r="B1419" s="2" t="s">
        <v>1553</v>
      </c>
      <c r="C1419" s="2">
        <v>7.0</v>
      </c>
      <c r="E1419" s="14" t="s">
        <v>13</v>
      </c>
      <c r="F1419" s="15" t="str">
        <f>IFERROR(__xludf.DUMMYFUNCTION("GOOGLETRANSLATE(B1419,""en"",""ar"")"),"تحسين")</f>
        <v>تحسين</v>
      </c>
    </row>
    <row r="1420" ht="14.25" customHeight="1">
      <c r="A1420" s="5"/>
      <c r="B1420" s="2" t="s">
        <v>1554</v>
      </c>
      <c r="C1420" s="2">
        <v>7.0</v>
      </c>
      <c r="E1420" s="14" t="s">
        <v>13</v>
      </c>
      <c r="F1420" s="15" t="str">
        <f>IFERROR(__xludf.DUMMYFUNCTION("GOOGLETRANSLATE(B1420,""en"",""ar"")"),"فحص")</f>
        <v>فحص</v>
      </c>
    </row>
    <row r="1421" ht="14.25" customHeight="1">
      <c r="A1421" s="5"/>
      <c r="B1421" s="2" t="b">
        <v>0</v>
      </c>
      <c r="C1421" s="2">
        <v>7.0</v>
      </c>
      <c r="E1421" s="14" t="s">
        <v>1555</v>
      </c>
      <c r="F1421" s="15" t="str">
        <f>IFERROR(__xludf.DUMMYFUNCTION("GOOGLETRANSLATE(B1421,""en"",""ar"")"),"خاطئة")</f>
        <v>خاطئة</v>
      </c>
    </row>
    <row r="1422" ht="14.25" customHeight="1">
      <c r="A1422" s="5"/>
      <c r="B1422" s="2" t="s">
        <v>1556</v>
      </c>
      <c r="C1422" s="2">
        <v>7.0</v>
      </c>
      <c r="E1422" s="14" t="s">
        <v>1205</v>
      </c>
      <c r="F1422" s="15" t="str">
        <f>IFERROR(__xludf.DUMMYFUNCTION("GOOGLETRANSLATE(B1422,""en"",""ar"")"),"تغذية")</f>
        <v>تغذية</v>
      </c>
    </row>
    <row r="1423" ht="14.25" customHeight="1">
      <c r="A1423" s="5"/>
      <c r="B1423" s="2" t="s">
        <v>1557</v>
      </c>
      <c r="C1423" s="2">
        <v>7.0</v>
      </c>
      <c r="E1423" s="14" t="s">
        <v>80</v>
      </c>
      <c r="F1423" s="15" t="str">
        <f>IFERROR(__xludf.DUMMYFUNCTION("GOOGLETRANSLATE(B1423,""en"",""ar"")"),"كرة القدم")</f>
        <v>كرة القدم</v>
      </c>
    </row>
    <row r="1424" ht="14.25" customHeight="1">
      <c r="A1424" s="5"/>
      <c r="B1424" s="2" t="s">
        <v>1558</v>
      </c>
      <c r="C1424" s="2">
        <v>7.0</v>
      </c>
      <c r="E1424" s="14" t="s">
        <v>1559</v>
      </c>
      <c r="F1424" s="15" t="str">
        <f>IFERROR(__xludf.DUMMYFUNCTION("GOOGLETRANSLATE(B1424,""en"",""ar"")"),"إلى الأبد")</f>
        <v>إلى الأبد</v>
      </c>
    </row>
    <row r="1425" ht="14.25" customHeight="1">
      <c r="A1425" s="5"/>
      <c r="B1425" s="2" t="s">
        <v>1560</v>
      </c>
      <c r="C1425" s="2">
        <v>7.0</v>
      </c>
      <c r="E1425" s="14" t="s">
        <v>149</v>
      </c>
      <c r="F1425" s="15" t="str">
        <f>IFERROR(__xludf.DUMMYFUNCTION("GOOGLETRANSLATE(B1425,""en"",""ar"")"),"ذهب")</f>
        <v>ذهب</v>
      </c>
    </row>
    <row r="1426" ht="14.25" customHeight="1">
      <c r="A1426" s="5"/>
      <c r="B1426" s="2" t="s">
        <v>1561</v>
      </c>
      <c r="C1426" s="2">
        <v>7.0</v>
      </c>
      <c r="E1426" s="14" t="s">
        <v>80</v>
      </c>
      <c r="F1426" s="15" t="str">
        <f>IFERROR(__xludf.DUMMYFUNCTION("GOOGLETRANSLATE(B1426,""en"",""ar"")"),"إرشاد")</f>
        <v>إرشاد</v>
      </c>
    </row>
    <row r="1427" ht="14.25" customHeight="1">
      <c r="A1427" s="5"/>
      <c r="B1427" s="2" t="s">
        <v>1562</v>
      </c>
      <c r="C1427" s="2">
        <v>7.0</v>
      </c>
      <c r="E1427" s="14" t="s">
        <v>80</v>
      </c>
      <c r="F1427" s="15" t="str">
        <f>IFERROR(__xludf.DUMMYFUNCTION("GOOGLETRANSLATE(B1427,""en"",""ar"")"),"الفندق")</f>
        <v>الفندق</v>
      </c>
    </row>
    <row r="1428" ht="14.25" customHeight="1">
      <c r="A1428" s="5"/>
      <c r="B1428" s="2" t="s">
        <v>1563</v>
      </c>
      <c r="C1428" s="2">
        <v>7.0</v>
      </c>
      <c r="E1428" s="14" t="s">
        <v>95</v>
      </c>
      <c r="F1428" s="15" t="str">
        <f>IFERROR(__xludf.DUMMYFUNCTION("GOOGLETRANSLATE(B1428,""en"",""ar"")"),"اعجاب")</f>
        <v>اعجاب</v>
      </c>
    </row>
    <row r="1429" ht="14.25" customHeight="1">
      <c r="A1429" s="5"/>
      <c r="B1429" s="2" t="s">
        <v>1564</v>
      </c>
      <c r="C1429" s="2">
        <v>7.0</v>
      </c>
      <c r="E1429" s="14" t="s">
        <v>13</v>
      </c>
      <c r="F1429" s="15" t="str">
        <f>IFERROR(__xludf.DUMMYFUNCTION("GOOGLETRANSLATE(B1429,""en"",""ar"")"),"تثبيت")</f>
        <v>تثبيت</v>
      </c>
    </row>
    <row r="1430" ht="14.25" customHeight="1">
      <c r="A1430" s="5"/>
      <c r="B1430" s="2" t="s">
        <v>1565</v>
      </c>
      <c r="C1430" s="2">
        <v>7.0</v>
      </c>
      <c r="E1430" s="14" t="s">
        <v>120</v>
      </c>
      <c r="F1430" s="15" t="str">
        <f>IFERROR(__xludf.DUMMYFUNCTION("GOOGLETRANSLATE(B1430,""en"",""ar"")"),"مقابلة")</f>
        <v>مقابلة</v>
      </c>
    </row>
    <row r="1431" ht="14.25" customHeight="1">
      <c r="A1431" s="5"/>
      <c r="B1431" s="2" t="s">
        <v>1566</v>
      </c>
      <c r="C1431" s="2">
        <v>7.0</v>
      </c>
      <c r="E1431" s="14" t="s">
        <v>129</v>
      </c>
      <c r="F1431" s="15" t="str">
        <f>IFERROR(__xludf.DUMMYFUNCTION("GOOGLETRANSLATE(B1431,""en"",""ar"")"),"طفل")</f>
        <v>طفل</v>
      </c>
    </row>
    <row r="1432" ht="14.25" customHeight="1">
      <c r="A1432" s="5"/>
      <c r="B1432" s="2" t="s">
        <v>1567</v>
      </c>
      <c r="C1432" s="2">
        <v>7.0</v>
      </c>
      <c r="E1432" s="14" t="s">
        <v>1210</v>
      </c>
      <c r="F1432" s="15" t="str">
        <f>IFERROR(__xludf.DUMMYFUNCTION("GOOGLETRANSLATE(B1432,""en"",""ar"")"),"علامة")</f>
        <v>علامة</v>
      </c>
    </row>
    <row r="1433" ht="14.25" customHeight="1">
      <c r="A1433" s="5"/>
      <c r="B1433" s="2" t="s">
        <v>1568</v>
      </c>
      <c r="C1433" s="2">
        <v>7.0</v>
      </c>
      <c r="E1433" s="14" t="s">
        <v>120</v>
      </c>
      <c r="F1433" s="15" t="str">
        <f>IFERROR(__xludf.DUMMYFUNCTION("GOOGLETRANSLATE(B1433,""en"",""ar"")"),"مباراة")</f>
        <v>مباراة</v>
      </c>
    </row>
    <row r="1434" ht="14.25" customHeight="1">
      <c r="A1434" s="5"/>
      <c r="B1434" s="2" t="s">
        <v>1569</v>
      </c>
      <c r="C1434" s="2">
        <v>7.0</v>
      </c>
      <c r="E1434" s="14" t="s">
        <v>149</v>
      </c>
      <c r="F1434" s="15" t="str">
        <f>IFERROR(__xludf.DUMMYFUNCTION("GOOGLETRANSLATE(B1434,""en"",""ar"")"),"بعثة")</f>
        <v>بعثة</v>
      </c>
    </row>
    <row r="1435" ht="14.25" customHeight="1">
      <c r="A1435" s="5"/>
      <c r="B1435" s="2" t="s">
        <v>1570</v>
      </c>
      <c r="C1435" s="2">
        <v>7.0</v>
      </c>
      <c r="E1435" s="14" t="s">
        <v>15</v>
      </c>
      <c r="F1435" s="15" t="str">
        <f>IFERROR(__xludf.DUMMYFUNCTION("GOOGLETRANSLATE(B1435,""en"",""ar"")"),"لا أحد")</f>
        <v>لا أحد</v>
      </c>
    </row>
    <row r="1436" ht="14.25" customHeight="1">
      <c r="A1436" s="5"/>
      <c r="B1436" s="2" t="s">
        <v>1571</v>
      </c>
      <c r="C1436" s="2">
        <v>7.0</v>
      </c>
      <c r="E1436" s="14" t="s">
        <v>113</v>
      </c>
      <c r="F1436" s="15" t="str">
        <f>IFERROR(__xludf.DUMMYFUNCTION("GOOGLETRANSLATE(B1436,""en"",""ar"")"),"بديهي")</f>
        <v>بديهي</v>
      </c>
    </row>
    <row r="1437" ht="14.25" customHeight="1">
      <c r="A1437" s="5"/>
      <c r="B1437" s="2" t="s">
        <v>1572</v>
      </c>
      <c r="C1437" s="2">
        <v>7.0</v>
      </c>
      <c r="E1437" s="14" t="s">
        <v>31</v>
      </c>
      <c r="F1437" s="15" t="str">
        <f>IFERROR(__xludf.DUMMYFUNCTION("GOOGLETRANSLATE(B1437,""en"",""ar"")"),"أنفسنا")</f>
        <v>أنفسنا</v>
      </c>
    </row>
    <row r="1438" ht="14.25" customHeight="1">
      <c r="A1438" s="5"/>
      <c r="B1438" s="2" t="s">
        <v>1573</v>
      </c>
      <c r="C1438" s="2">
        <v>7.0</v>
      </c>
      <c r="E1438" s="14" t="s">
        <v>80</v>
      </c>
      <c r="F1438" s="15" t="str">
        <f>IFERROR(__xludf.DUMMYFUNCTION("GOOGLETRANSLATE(B1438,""en"",""ar"")"),"صاحبة")</f>
        <v>صاحبة</v>
      </c>
    </row>
    <row r="1439" ht="14.25" customHeight="1">
      <c r="A1439" s="5"/>
      <c r="B1439" s="2" t="s">
        <v>1574</v>
      </c>
      <c r="C1439" s="2">
        <v>7.0</v>
      </c>
      <c r="E1439" s="14" t="s">
        <v>1210</v>
      </c>
      <c r="F1439" s="15" t="str">
        <f>IFERROR(__xludf.DUMMYFUNCTION("GOOGLETRANSLATE(B1439,""en"",""ar"")"),"الم")</f>
        <v>الم</v>
      </c>
    </row>
    <row r="1440" ht="14.25" customHeight="1">
      <c r="A1440" s="5"/>
      <c r="B1440" s="2" t="s">
        <v>1575</v>
      </c>
      <c r="C1440" s="2">
        <v>7.0</v>
      </c>
      <c r="E1440" s="14" t="s">
        <v>13</v>
      </c>
      <c r="F1440" s="15" t="str">
        <f>IFERROR(__xludf.DUMMYFUNCTION("GOOGLETRANSLATE(B1440,""en"",""ar"")"),"مشاركة")</f>
        <v>مشاركة</v>
      </c>
    </row>
    <row r="1441" ht="14.25" customHeight="1">
      <c r="A1441" s="5"/>
      <c r="B1441" s="2" t="s">
        <v>1576</v>
      </c>
      <c r="C1441" s="2">
        <v>7.0</v>
      </c>
      <c r="E1441" s="14" t="s">
        <v>120</v>
      </c>
      <c r="F1441" s="15" t="str">
        <f>IFERROR(__xludf.DUMMYFUNCTION("GOOGLETRANSLATE(B1441,""en"",""ar"")"),"بكل سرور")</f>
        <v>بكل سرور</v>
      </c>
    </row>
    <row r="1442" ht="14.25" customHeight="1">
      <c r="A1442" s="5"/>
      <c r="B1442" s="2" t="s">
        <v>1577</v>
      </c>
      <c r="C1442" s="2">
        <v>7.0</v>
      </c>
      <c r="E1442" s="14" t="s">
        <v>80</v>
      </c>
      <c r="F1442" s="15" t="str">
        <f>IFERROR(__xludf.DUMMYFUNCTION("GOOGLETRANSLATE(B1442,""en"",""ar"")"),"أولوية")</f>
        <v>أولوية</v>
      </c>
    </row>
    <row r="1443" ht="14.25" customHeight="1">
      <c r="A1443" s="5"/>
      <c r="B1443" s="2" t="s">
        <v>1578</v>
      </c>
      <c r="C1443" s="2">
        <v>7.0</v>
      </c>
      <c r="E1443" s="14" t="s">
        <v>80</v>
      </c>
      <c r="F1443" s="15" t="str">
        <f>IFERROR(__xludf.DUMMYFUNCTION("GOOGLETRANSLATE(B1443,""en"",""ar"")"),"الحماية")</f>
        <v>الحماية</v>
      </c>
    </row>
    <row r="1444" ht="14.25" customHeight="1">
      <c r="A1444" s="5"/>
      <c r="B1444" s="2" t="s">
        <v>1579</v>
      </c>
      <c r="C1444" s="2">
        <v>7.0</v>
      </c>
      <c r="E1444" s="14" t="s">
        <v>95</v>
      </c>
      <c r="F1444" s="15" t="str">
        <f>IFERROR(__xludf.DUMMYFUNCTION("GOOGLETRANSLATE(B1444,""en"",""ar"")"),"كرر")</f>
        <v>كرر</v>
      </c>
    </row>
    <row r="1445" ht="14.25" customHeight="1">
      <c r="A1445" s="5"/>
      <c r="B1445" s="2" t="s">
        <v>1580</v>
      </c>
      <c r="C1445" s="2">
        <v>7.0</v>
      </c>
      <c r="E1445" s="14" t="s">
        <v>208</v>
      </c>
      <c r="F1445" s="15" t="str">
        <f>IFERROR(__xludf.DUMMYFUNCTION("GOOGLETRANSLATE(B1445,""en"",""ar"")"),"دائري")</f>
        <v>دائري</v>
      </c>
    </row>
    <row r="1446" ht="14.25" customHeight="1">
      <c r="A1446" s="5"/>
      <c r="B1446" s="2" t="s">
        <v>1581</v>
      </c>
      <c r="C1446" s="2">
        <v>7.0</v>
      </c>
      <c r="E1446" s="14" t="s">
        <v>1210</v>
      </c>
      <c r="F1446" s="15" t="str">
        <f>IFERROR(__xludf.DUMMYFUNCTION("GOOGLETRANSLATE(B1446,""en"",""ar"")"),"نتيجة")</f>
        <v>نتيجة</v>
      </c>
    </row>
    <row r="1447" ht="14.25" customHeight="1">
      <c r="A1447" s="5"/>
      <c r="B1447" s="2" t="s">
        <v>1582</v>
      </c>
      <c r="C1447" s="2">
        <v>7.0</v>
      </c>
      <c r="E1447" s="14" t="s">
        <v>1210</v>
      </c>
      <c r="F1447" s="15" t="str">
        <f>IFERROR(__xludf.DUMMYFUNCTION("GOOGLETRANSLATE(B1447,""en"",""ar"")"),"برغي")</f>
        <v>برغي</v>
      </c>
    </row>
    <row r="1448" ht="14.25" customHeight="1">
      <c r="A1448" s="5"/>
      <c r="B1448" s="2" t="s">
        <v>1583</v>
      </c>
      <c r="C1448" s="2">
        <v>7.0</v>
      </c>
      <c r="E1448" s="14" t="s">
        <v>1262</v>
      </c>
      <c r="F1448" s="15" t="str">
        <f>IFERROR(__xludf.DUMMYFUNCTION("GOOGLETRANSLATE(B1448,""en"",""ar"")"),"بحث")</f>
        <v>بحث</v>
      </c>
    </row>
    <row r="1449" ht="14.25" customHeight="1">
      <c r="A1449" s="5"/>
      <c r="B1449" s="2" t="s">
        <v>1584</v>
      </c>
      <c r="C1449" s="2">
        <v>7.0</v>
      </c>
      <c r="E1449" s="14" t="s">
        <v>1210</v>
      </c>
      <c r="F1449" s="15" t="str">
        <f>IFERROR(__xludf.DUMMYFUNCTION("GOOGLETRANSLATE(B1449,""en"",""ar"")"),"الجنس")</f>
        <v>الجنس</v>
      </c>
    </row>
    <row r="1450" ht="14.25" customHeight="1">
      <c r="A1450" s="5"/>
      <c r="B1450" s="2" t="s">
        <v>1585</v>
      </c>
      <c r="C1450" s="2">
        <v>7.0</v>
      </c>
      <c r="E1450" s="14" t="s">
        <v>1403</v>
      </c>
      <c r="F1450" s="15" t="str">
        <f>IFERROR(__xludf.DUMMYFUNCTION("GOOGLETRANSLATE(B1450,""en"",""ar"")"),"حاد")</f>
        <v>حاد</v>
      </c>
    </row>
    <row r="1451" ht="14.25" customHeight="1">
      <c r="A1451" s="5"/>
      <c r="B1451" s="2" t="s">
        <v>1586</v>
      </c>
      <c r="C1451" s="2">
        <v>7.0</v>
      </c>
      <c r="E1451" s="14" t="s">
        <v>1587</v>
      </c>
      <c r="F1451" s="15" t="str">
        <f>IFERROR(__xludf.DUMMYFUNCTION("GOOGLETRANSLATE(B1451,""en"",""ar"")"),"متجر")</f>
        <v>متجر</v>
      </c>
    </row>
    <row r="1452" ht="14.25" customHeight="1">
      <c r="A1452" s="5"/>
      <c r="B1452" s="2" t="s">
        <v>1588</v>
      </c>
      <c r="C1452" s="2">
        <v>7.0</v>
      </c>
      <c r="E1452" s="14" t="s">
        <v>1210</v>
      </c>
      <c r="F1452" s="15" t="str">
        <f>IFERROR(__xludf.DUMMYFUNCTION("GOOGLETRANSLATE(B1452,""en"",""ar"")"),"دش")</f>
        <v>دش</v>
      </c>
    </row>
    <row r="1453" ht="14.25" customHeight="1">
      <c r="A1453" s="5"/>
      <c r="B1453" s="2" t="s">
        <v>1589</v>
      </c>
      <c r="C1453" s="2">
        <v>7.0</v>
      </c>
      <c r="E1453" s="14" t="s">
        <v>95</v>
      </c>
      <c r="F1453" s="15" t="str">
        <f>IFERROR(__xludf.DUMMYFUNCTION("GOOGLETRANSLATE(B1453,""en"",""ar"")"),"يغنى")</f>
        <v>يغنى</v>
      </c>
    </row>
    <row r="1454" ht="14.25" customHeight="1">
      <c r="A1454" s="5"/>
      <c r="B1454" s="2" t="s">
        <v>1590</v>
      </c>
      <c r="C1454" s="2">
        <v>7.0</v>
      </c>
      <c r="E1454" s="14" t="s">
        <v>1205</v>
      </c>
      <c r="F1454" s="15" t="str">
        <f>IFERROR(__xludf.DUMMYFUNCTION("GOOGLETRANSLATE(B1454,""en"",""ar"")"),"الانزلاق")</f>
        <v>الانزلاق</v>
      </c>
    </row>
    <row r="1455" ht="14.25" customHeight="1">
      <c r="A1455" s="5"/>
      <c r="B1455" s="2" t="s">
        <v>1591</v>
      </c>
      <c r="C1455" s="2">
        <v>7.0</v>
      </c>
      <c r="E1455" s="14" t="s">
        <v>95</v>
      </c>
      <c r="F1455" s="15" t="str">
        <f>IFERROR(__xludf.DUMMYFUNCTION("GOOGLETRANSLATE(B1455,""en"",""ar"")"),"قطاع")</f>
        <v>قطاع</v>
      </c>
    </row>
    <row r="1456" ht="14.25" customHeight="1">
      <c r="A1456" s="5"/>
      <c r="B1456" s="2" t="s">
        <v>1592</v>
      </c>
      <c r="C1456" s="2">
        <v>7.0</v>
      </c>
      <c r="E1456" s="14" t="s">
        <v>80</v>
      </c>
      <c r="F1456" s="15" t="str">
        <f>IFERROR(__xludf.DUMMYFUNCTION("GOOGLETRANSLATE(B1456,""en"",""ar"")"),"اقتراح")</f>
        <v>اقتراح</v>
      </c>
    </row>
    <row r="1457" ht="14.25" customHeight="1">
      <c r="A1457" s="5"/>
      <c r="B1457" s="2" t="s">
        <v>1593</v>
      </c>
      <c r="C1457" s="2">
        <v>7.0</v>
      </c>
      <c r="E1457" s="14" t="s">
        <v>1210</v>
      </c>
      <c r="F1457" s="15" t="str">
        <f>IFERROR(__xludf.DUMMYFUNCTION("GOOGLETRANSLATE(B1457,""en"",""ar"")"),"تناسب")</f>
        <v>تناسب</v>
      </c>
    </row>
    <row r="1458" ht="14.25" customHeight="1">
      <c r="A1458" s="5"/>
      <c r="B1458" s="2" t="s">
        <v>1594</v>
      </c>
      <c r="C1458" s="2">
        <v>7.0</v>
      </c>
      <c r="E1458" s="14" t="s">
        <v>80</v>
      </c>
      <c r="F1458" s="15" t="str">
        <f>IFERROR(__xludf.DUMMYFUNCTION("GOOGLETRANSLATE(B1458,""en"",""ar"")"),"توتر")</f>
        <v>توتر</v>
      </c>
    </row>
    <row r="1459" ht="14.25" customHeight="1">
      <c r="A1459" s="5"/>
      <c r="B1459" s="2" t="s">
        <v>1595</v>
      </c>
      <c r="C1459" s="2">
        <v>7.0</v>
      </c>
      <c r="E1459" s="14" t="s">
        <v>1272</v>
      </c>
      <c r="F1459" s="15" t="str">
        <f>IFERROR(__xludf.DUMMYFUNCTION("GOOGLETRANSLATE(B1459,""en"",""ar"")"),"سميك")</f>
        <v>سميك</v>
      </c>
    </row>
    <row r="1460" ht="14.25" customHeight="1">
      <c r="A1460" s="5"/>
      <c r="B1460" s="2" t="s">
        <v>1596</v>
      </c>
      <c r="C1460" s="2">
        <v>7.0</v>
      </c>
      <c r="E1460" s="14" t="s">
        <v>120</v>
      </c>
      <c r="F1460" s="15" t="str">
        <f>IFERROR(__xludf.DUMMYFUNCTION("GOOGLETRANSLATE(B1460,""en"",""ar"")"),"نغمة، رنه")</f>
        <v>نغمة، رنه</v>
      </c>
    </row>
    <row r="1461" ht="14.25" customHeight="1">
      <c r="A1461" s="5"/>
      <c r="B1461" s="2" t="s">
        <v>1597</v>
      </c>
      <c r="C1461" s="2">
        <v>7.0</v>
      </c>
      <c r="E1461" s="14" t="s">
        <v>43</v>
      </c>
      <c r="F1461" s="15" t="str">
        <f>IFERROR(__xludf.DUMMYFUNCTION("GOOGLETRANSLATE(B1461,""en"",""ar"")"),"تماما")</f>
        <v>تماما</v>
      </c>
    </row>
    <row r="1462" ht="14.25" customHeight="1">
      <c r="A1462" s="5"/>
      <c r="B1462" s="2" t="s">
        <v>1598</v>
      </c>
      <c r="C1462" s="2">
        <v>7.0</v>
      </c>
      <c r="E1462" s="14" t="s">
        <v>43</v>
      </c>
      <c r="F1462" s="15" t="str">
        <f>IFERROR(__xludf.DUMMYFUNCTION("GOOGLETRANSLATE(B1462,""en"",""ar"")"),"مرتين")</f>
        <v>مرتين</v>
      </c>
    </row>
    <row r="1463" ht="14.25" customHeight="1">
      <c r="A1463" s="5"/>
      <c r="B1463" s="2" t="s">
        <v>1599</v>
      </c>
      <c r="C1463" s="2">
        <v>7.0</v>
      </c>
      <c r="E1463" s="14" t="s">
        <v>80</v>
      </c>
      <c r="F1463" s="15" t="str">
        <f>IFERROR(__xludf.DUMMYFUNCTION("GOOGLETRANSLATE(B1463,""en"",""ar"")"),"الاختلاف")</f>
        <v>الاختلاف</v>
      </c>
    </row>
    <row r="1464" ht="14.25" customHeight="1">
      <c r="A1464" s="5"/>
      <c r="B1464" s="2" t="s">
        <v>1600</v>
      </c>
      <c r="C1464" s="2">
        <v>7.0</v>
      </c>
      <c r="E1464" s="14" t="s">
        <v>54</v>
      </c>
      <c r="F1464" s="15" t="str">
        <f>IFERROR(__xludf.DUMMYFUNCTION("GOOGLETRANSLATE(B1464,""en"",""ar"")"),"بينما")</f>
        <v>بينما</v>
      </c>
    </row>
    <row r="1465" ht="14.25" customHeight="1">
      <c r="A1465" s="5"/>
      <c r="B1465" s="2" t="s">
        <v>1601</v>
      </c>
      <c r="C1465" s="2">
        <v>7.0</v>
      </c>
      <c r="E1465" s="14" t="s">
        <v>120</v>
      </c>
      <c r="F1465" s="15" t="str">
        <f>IFERROR(__xludf.DUMMYFUNCTION("GOOGLETRANSLATE(B1465,""en"",""ar"")"),"نافذة او شباك")</f>
        <v>نافذة او شباك</v>
      </c>
    </row>
    <row r="1466" ht="14.25" customHeight="1">
      <c r="A1466" s="5"/>
      <c r="B1466" s="2" t="s">
        <v>1602</v>
      </c>
      <c r="C1466" s="2">
        <v>7.0</v>
      </c>
      <c r="E1466" s="14" t="s">
        <v>1337</v>
      </c>
      <c r="F1466" s="15" t="str">
        <f>IFERROR(__xludf.DUMMYFUNCTION("GOOGLETRANSLATE(B1466,""en"",""ar"")"),"حكيم")</f>
        <v>حكيم</v>
      </c>
    </row>
    <row r="1467" ht="14.25" customHeight="1">
      <c r="A1467" s="5"/>
      <c r="B1467" s="2" t="s">
        <v>1603</v>
      </c>
      <c r="C1467" s="2">
        <v>7.0</v>
      </c>
      <c r="E1467" s="14" t="s">
        <v>95</v>
      </c>
      <c r="F1467" s="15" t="str">
        <f>IFERROR(__xludf.DUMMYFUNCTION("GOOGLETRANSLATE(B1467,""en"",""ar"")"),"رغبة")</f>
        <v>رغبة</v>
      </c>
    </row>
    <row r="1468" ht="14.25" customHeight="1">
      <c r="A1468" s="5"/>
      <c r="B1468" s="2" t="s">
        <v>1604</v>
      </c>
      <c r="C1468" s="2">
        <v>6.0</v>
      </c>
      <c r="E1468" s="14" t="s">
        <v>84</v>
      </c>
      <c r="F1468" s="15" t="str">
        <f>IFERROR(__xludf.DUMMYFUNCTION("GOOGLETRANSLATE(B1468,""en"",""ar"")"),"وكيل")</f>
        <v>وكيل</v>
      </c>
    </row>
    <row r="1469" ht="14.25" customHeight="1">
      <c r="A1469" s="5"/>
      <c r="B1469" s="2" t="s">
        <v>1605</v>
      </c>
      <c r="C1469" s="2">
        <v>6.0</v>
      </c>
      <c r="E1469" s="14" t="s">
        <v>80</v>
      </c>
      <c r="F1469" s="15" t="str">
        <f>IFERROR(__xludf.DUMMYFUNCTION("GOOGLETRANSLATE(B1469,""en"",""ar"")"),"القلق")</f>
        <v>القلق</v>
      </c>
    </row>
    <row r="1470" ht="14.25" customHeight="1">
      <c r="A1470" s="5"/>
      <c r="B1470" s="2" t="s">
        <v>1606</v>
      </c>
      <c r="C1470" s="2">
        <v>6.0</v>
      </c>
      <c r="E1470" s="14" t="s">
        <v>80</v>
      </c>
      <c r="F1470" s="15" t="str">
        <f>IFERROR(__xludf.DUMMYFUNCTION("GOOGLETRANSLATE(B1470,""en"",""ar"")"),"أَجواء")</f>
        <v>أَجواء</v>
      </c>
    </row>
    <row r="1471" ht="14.25" customHeight="1">
      <c r="A1471" s="5"/>
      <c r="B1471" s="2" t="s">
        <v>1607</v>
      </c>
      <c r="C1471" s="2">
        <v>6.0</v>
      </c>
      <c r="E1471" s="14" t="s">
        <v>80</v>
      </c>
      <c r="F1471" s="15" t="str">
        <f>IFERROR(__xludf.DUMMYFUNCTION("GOOGLETRANSLATE(B1471,""en"",""ar"")"),"وعي")</f>
        <v>وعي</v>
      </c>
    </row>
    <row r="1472" ht="14.25" customHeight="1">
      <c r="A1472" s="5"/>
      <c r="B1472" s="2" t="s">
        <v>1608</v>
      </c>
      <c r="C1472" s="2">
        <v>6.0</v>
      </c>
      <c r="E1472" s="14" t="s">
        <v>120</v>
      </c>
      <c r="F1472" s="15" t="str">
        <f>IFERROR(__xludf.DUMMYFUNCTION("GOOGLETRANSLATE(B1472,""en"",""ar"")"),"حافظة مسافة")</f>
        <v>حافظة مسافة</v>
      </c>
    </row>
    <row r="1473" ht="14.25" customHeight="1">
      <c r="A1473" s="5"/>
      <c r="B1473" s="2" t="s">
        <v>1609</v>
      </c>
      <c r="C1473" s="2">
        <v>6.0</v>
      </c>
      <c r="E1473" s="14" t="s">
        <v>80</v>
      </c>
      <c r="F1473" s="15" t="str">
        <f>IFERROR(__xludf.DUMMYFUNCTION("GOOGLETRANSLATE(B1473,""en"",""ar"")"),"حمام")</f>
        <v>حمام</v>
      </c>
    </row>
    <row r="1474" ht="14.25" customHeight="1">
      <c r="A1474" s="5"/>
      <c r="B1474" s="2" t="s">
        <v>1610</v>
      </c>
      <c r="C1474" s="2">
        <v>6.0</v>
      </c>
      <c r="E1474" s="14" t="s">
        <v>120</v>
      </c>
      <c r="F1474" s="15" t="str">
        <f>IFERROR(__xludf.DUMMYFUNCTION("GOOGLETRANSLATE(B1474,""en"",""ar"")"),"الكتلة")</f>
        <v>الكتلة</v>
      </c>
    </row>
    <row r="1475" ht="14.25" customHeight="1">
      <c r="A1475" s="5"/>
      <c r="B1475" s="2" t="s">
        <v>1611</v>
      </c>
      <c r="C1475" s="2">
        <v>6.0</v>
      </c>
      <c r="E1475" s="14" t="s">
        <v>240</v>
      </c>
      <c r="F1475" s="15" t="str">
        <f>IFERROR(__xludf.DUMMYFUNCTION("GOOGLETRANSLATE(B1475,""en"",""ar"")"),"عظم")</f>
        <v>عظم</v>
      </c>
    </row>
    <row r="1476" ht="14.25" customHeight="1">
      <c r="A1476" s="5"/>
      <c r="B1476" s="2" t="s">
        <v>1612</v>
      </c>
      <c r="C1476" s="2">
        <v>6.0</v>
      </c>
      <c r="E1476" s="14" t="s">
        <v>80</v>
      </c>
      <c r="F1476" s="15" t="str">
        <f>IFERROR(__xludf.DUMMYFUNCTION("GOOGLETRANSLATE(B1476,""en"",""ar"")"),"رغيف الخبز")</f>
        <v>رغيف الخبز</v>
      </c>
    </row>
    <row r="1477" ht="14.25" customHeight="1">
      <c r="A1477" s="5"/>
      <c r="B1477" s="2" t="s">
        <v>1613</v>
      </c>
      <c r="C1477" s="2">
        <v>6.0</v>
      </c>
      <c r="E1477" s="14" t="s">
        <v>120</v>
      </c>
      <c r="F1477" s="15" t="str">
        <f>IFERROR(__xludf.DUMMYFUNCTION("GOOGLETRANSLATE(B1477,""en"",""ar"")"),"تقويم")</f>
        <v>تقويم</v>
      </c>
    </row>
    <row r="1478" ht="14.25" customHeight="1">
      <c r="A1478" s="5"/>
      <c r="B1478" s="2" t="s">
        <v>1614</v>
      </c>
      <c r="C1478" s="2">
        <v>6.0</v>
      </c>
      <c r="E1478" s="14" t="s">
        <v>80</v>
      </c>
      <c r="F1478" s="15" t="str">
        <f>IFERROR(__xludf.DUMMYFUNCTION("GOOGLETRANSLATE(B1478,""en"",""ar"")"),"مُرَشَّح")</f>
        <v>مُرَشَّح</v>
      </c>
    </row>
    <row r="1479" ht="14.25" customHeight="1">
      <c r="A1479" s="5"/>
      <c r="B1479" s="2" t="s">
        <v>1615</v>
      </c>
      <c r="C1479" s="2">
        <v>6.0</v>
      </c>
      <c r="E1479" s="14" t="s">
        <v>120</v>
      </c>
      <c r="F1479" s="15" t="str">
        <f>IFERROR(__xludf.DUMMYFUNCTION("GOOGLETRANSLATE(B1479,""en"",""ar"")"),"قبعة")</f>
        <v>قبعة</v>
      </c>
    </row>
    <row r="1480" ht="14.25" customHeight="1">
      <c r="A1480" s="5"/>
      <c r="B1480" s="2" t="s">
        <v>1616</v>
      </c>
      <c r="C1480" s="2">
        <v>6.0</v>
      </c>
      <c r="E1480" s="14" t="s">
        <v>113</v>
      </c>
      <c r="F1480" s="15" t="str">
        <f>IFERROR(__xludf.DUMMYFUNCTION("GOOGLETRANSLATE(B1480,""en"",""ar"")"),"حذر")</f>
        <v>حذر</v>
      </c>
    </row>
    <row r="1481" ht="14.25" customHeight="1">
      <c r="A1481" s="5"/>
      <c r="B1481" s="2" t="s">
        <v>1617</v>
      </c>
      <c r="C1481" s="2">
        <v>6.0</v>
      </c>
      <c r="E1481" s="14" t="s">
        <v>80</v>
      </c>
      <c r="F1481" s="15" t="str">
        <f>IFERROR(__xludf.DUMMYFUNCTION("GOOGLETRANSLATE(B1481,""en"",""ar"")"),"مناخ")</f>
        <v>مناخ</v>
      </c>
    </row>
    <row r="1482" ht="14.25" customHeight="1">
      <c r="A1482" s="5"/>
      <c r="B1482" s="2" t="s">
        <v>1618</v>
      </c>
      <c r="C1482" s="2">
        <v>6.0</v>
      </c>
      <c r="E1482" s="14" t="s">
        <v>120</v>
      </c>
      <c r="F1482" s="15" t="str">
        <f>IFERROR(__xludf.DUMMYFUNCTION("GOOGLETRANSLATE(B1482,""en"",""ar"")"),"معطف")</f>
        <v>معطف</v>
      </c>
    </row>
    <row r="1483" ht="14.25" customHeight="1">
      <c r="A1483" s="5"/>
      <c r="B1483" s="2" t="s">
        <v>1619</v>
      </c>
      <c r="C1483" s="2">
        <v>6.0</v>
      </c>
      <c r="E1483" s="14" t="s">
        <v>1620</v>
      </c>
      <c r="F1483" s="15" t="str">
        <f>IFERROR(__xludf.DUMMYFUNCTION("GOOGLETRANSLATE(B1483,""en"",""ar"")"),"يجمع")</f>
        <v>يجمع</v>
      </c>
    </row>
    <row r="1484" ht="14.25" customHeight="1">
      <c r="A1484" s="5"/>
      <c r="B1484" s="2" t="s">
        <v>1621</v>
      </c>
      <c r="C1484" s="2">
        <v>6.0</v>
      </c>
      <c r="E1484" s="14" t="s">
        <v>95</v>
      </c>
      <c r="F1484" s="15" t="str">
        <f>IFERROR(__xludf.DUMMYFUNCTION("GOOGLETRANSLATE(B1484,""en"",""ar"")"),"يجمع")</f>
        <v>يجمع</v>
      </c>
    </row>
    <row r="1485" ht="14.25" customHeight="1">
      <c r="A1485" s="5"/>
      <c r="B1485" s="2" t="s">
        <v>1622</v>
      </c>
      <c r="C1485" s="2">
        <v>6.0</v>
      </c>
      <c r="E1485" s="14" t="s">
        <v>95</v>
      </c>
      <c r="F1485" s="15" t="str">
        <f>IFERROR(__xludf.DUMMYFUNCTION("GOOGLETRANSLATE(B1485,""en"",""ar"")"),"يأمر")</f>
        <v>يأمر</v>
      </c>
    </row>
    <row r="1486" ht="14.25" customHeight="1">
      <c r="A1486" s="5"/>
      <c r="B1486" s="2" t="s">
        <v>1623</v>
      </c>
      <c r="C1486" s="2">
        <v>6.0</v>
      </c>
      <c r="E1486" s="14" t="s">
        <v>80</v>
      </c>
      <c r="F1486" s="15" t="str">
        <f>IFERROR(__xludf.DUMMYFUNCTION("GOOGLETRANSLATE(B1486,""en"",""ar"")"),"مقارنة")</f>
        <v>مقارنة</v>
      </c>
    </row>
    <row r="1487" ht="14.25" customHeight="1">
      <c r="A1487" s="5"/>
      <c r="B1487" s="2" t="s">
        <v>1624</v>
      </c>
      <c r="C1487" s="2">
        <v>6.0</v>
      </c>
      <c r="E1487" s="14" t="s">
        <v>80</v>
      </c>
      <c r="F1487" s="15" t="str">
        <f>IFERROR(__xludf.DUMMYFUNCTION("GOOGLETRANSLATE(B1487,""en"",""ar"")"),"ارتباك")</f>
        <v>ارتباك</v>
      </c>
    </row>
    <row r="1488" ht="14.25" customHeight="1">
      <c r="A1488" s="5"/>
      <c r="B1488" s="2" t="s">
        <v>1625</v>
      </c>
      <c r="C1488" s="2">
        <v>6.0</v>
      </c>
      <c r="E1488" s="14" t="s">
        <v>80</v>
      </c>
      <c r="F1488" s="15" t="str">
        <f>IFERROR(__xludf.DUMMYFUNCTION("GOOGLETRANSLATE(B1488,""en"",""ar"")"),"اعمال بناء")</f>
        <v>اعمال بناء</v>
      </c>
    </row>
    <row r="1489" ht="14.25" customHeight="1">
      <c r="A1489" s="5"/>
      <c r="B1489" s="2" t="s">
        <v>1626</v>
      </c>
      <c r="C1489" s="2">
        <v>6.0</v>
      </c>
      <c r="E1489" s="14" t="s">
        <v>120</v>
      </c>
      <c r="F1489" s="15" t="str">
        <f>IFERROR(__xludf.DUMMYFUNCTION("GOOGLETRANSLATE(B1489,""en"",""ar"")"),"منافسة")</f>
        <v>منافسة</v>
      </c>
    </row>
    <row r="1490" ht="14.25" customHeight="1">
      <c r="A1490" s="5"/>
      <c r="B1490" s="2" t="s">
        <v>1627</v>
      </c>
      <c r="C1490" s="2">
        <v>6.0</v>
      </c>
      <c r="E1490" s="14" t="s">
        <v>1284</v>
      </c>
      <c r="F1490" s="15" t="str">
        <f>IFERROR(__xludf.DUMMYFUNCTION("GOOGLETRANSLATE(B1490,""en"",""ar"")"),"ركن")</f>
        <v>ركن</v>
      </c>
    </row>
    <row r="1491" ht="14.25" customHeight="1">
      <c r="A1491" s="5"/>
      <c r="B1491" s="2" t="s">
        <v>1628</v>
      </c>
      <c r="C1491" s="2">
        <v>6.0</v>
      </c>
      <c r="E1491" s="14" t="s">
        <v>1210</v>
      </c>
      <c r="F1491" s="15" t="str">
        <f>IFERROR(__xludf.DUMMYFUNCTION("GOOGLETRANSLATE(B1491,""en"",""ar"")"),"المحكمة")</f>
        <v>المحكمة</v>
      </c>
    </row>
    <row r="1492" ht="14.25" customHeight="1">
      <c r="A1492" s="5"/>
      <c r="B1492" s="2" t="s">
        <v>1629</v>
      </c>
      <c r="C1492" s="2">
        <v>6.0</v>
      </c>
      <c r="E1492" s="14" t="s">
        <v>120</v>
      </c>
      <c r="F1492" s="15" t="str">
        <f>IFERROR(__xludf.DUMMYFUNCTION("GOOGLETRANSLATE(B1492,""en"",""ar"")"),"فنجان")</f>
        <v>فنجان</v>
      </c>
    </row>
    <row r="1493" ht="14.25" customHeight="1">
      <c r="A1493" s="5"/>
      <c r="B1493" s="2" t="s">
        <v>1630</v>
      </c>
      <c r="C1493" s="2">
        <v>6.0</v>
      </c>
      <c r="E1493" s="14" t="s">
        <v>95</v>
      </c>
      <c r="F1493" s="15" t="str">
        <f>IFERROR(__xludf.DUMMYFUNCTION("GOOGLETRANSLATE(B1493,""en"",""ar"")"),"حفر")</f>
        <v>حفر</v>
      </c>
    </row>
    <row r="1494" ht="14.25" customHeight="1">
      <c r="A1494" s="5"/>
      <c r="B1494" s="2" t="s">
        <v>1631</v>
      </c>
      <c r="C1494" s="2">
        <v>6.0</v>
      </c>
      <c r="E1494" s="14" t="s">
        <v>120</v>
      </c>
      <c r="F1494" s="15" t="str">
        <f>IFERROR(__xludf.DUMMYFUNCTION("GOOGLETRANSLATE(B1494,""en"",""ar"")"),"منطقة")</f>
        <v>منطقة</v>
      </c>
    </row>
    <row r="1495" ht="14.25" customHeight="1">
      <c r="A1495" s="5"/>
      <c r="B1495" s="2" t="s">
        <v>1632</v>
      </c>
      <c r="C1495" s="2">
        <v>6.0</v>
      </c>
      <c r="E1495" s="14" t="s">
        <v>95</v>
      </c>
      <c r="F1495" s="15" t="str">
        <f>IFERROR(__xludf.DUMMYFUNCTION("GOOGLETRANSLATE(B1495,""en"",""ar"")"),"يقسم")</f>
        <v>يقسم</v>
      </c>
    </row>
    <row r="1496" ht="14.25" customHeight="1">
      <c r="A1496" s="5"/>
      <c r="B1496" s="2" t="s">
        <v>1633</v>
      </c>
      <c r="C1496" s="2">
        <v>6.0</v>
      </c>
      <c r="E1496" s="14" t="s">
        <v>1305</v>
      </c>
      <c r="F1496" s="15" t="str">
        <f>IFERROR(__xludf.DUMMYFUNCTION("GOOGLETRANSLATE(B1496,""en"",""ar"")"),"باب")</f>
        <v>باب</v>
      </c>
    </row>
    <row r="1497" ht="14.25" customHeight="1">
      <c r="A1497" s="5"/>
      <c r="B1497" s="2" t="s">
        <v>1634</v>
      </c>
      <c r="C1497" s="2">
        <v>6.0</v>
      </c>
      <c r="E1497" s="14" t="s">
        <v>908</v>
      </c>
      <c r="F1497" s="15" t="str">
        <f>IFERROR(__xludf.DUMMYFUNCTION("GOOGLETRANSLATE(B1497,""en"",""ar"")"),"الشرق")</f>
        <v>الشرق</v>
      </c>
    </row>
    <row r="1498" ht="14.25" customHeight="1">
      <c r="A1498" s="5"/>
      <c r="B1498" s="2" t="s">
        <v>1635</v>
      </c>
      <c r="C1498" s="2">
        <v>6.0</v>
      </c>
      <c r="E1498" s="14" t="s">
        <v>80</v>
      </c>
      <c r="F1498" s="15" t="str">
        <f>IFERROR(__xludf.DUMMYFUNCTION("GOOGLETRANSLATE(B1498,""en"",""ar"")"),"مصعد")</f>
        <v>مصعد</v>
      </c>
    </row>
    <row r="1499" ht="14.25" customHeight="1">
      <c r="A1499" s="5"/>
      <c r="B1499" s="2" t="s">
        <v>1636</v>
      </c>
      <c r="C1499" s="2">
        <v>6.0</v>
      </c>
      <c r="E1499" s="14" t="s">
        <v>43</v>
      </c>
      <c r="F1499" s="15" t="str">
        <f>IFERROR(__xludf.DUMMYFUNCTION("GOOGLETRANSLATE(B1499,""en"",""ar"")"),"في مكان آخر")</f>
        <v>في مكان آخر</v>
      </c>
    </row>
    <row r="1500" ht="14.25" customHeight="1">
      <c r="A1500" s="5"/>
      <c r="B1500" s="2" t="s">
        <v>1637</v>
      </c>
      <c r="C1500" s="2">
        <v>6.0</v>
      </c>
      <c r="E1500" s="14" t="s">
        <v>80</v>
      </c>
      <c r="F1500" s="15" t="str">
        <f>IFERROR(__xludf.DUMMYFUNCTION("GOOGLETRANSLATE(B1500,""en"",""ar"")"),"المشاعر")</f>
        <v>المشاعر</v>
      </c>
    </row>
    <row r="1501" ht="14.25" customHeight="1">
      <c r="A1501" s="5"/>
      <c r="B1501" s="2" t="s">
        <v>1638</v>
      </c>
      <c r="C1501" s="2">
        <v>6.0</v>
      </c>
      <c r="E1501" s="14" t="s">
        <v>80</v>
      </c>
      <c r="F1501" s="15" t="str">
        <f>IFERROR(__xludf.DUMMYFUNCTION("GOOGLETRANSLATE(B1501,""en"",""ar"")"),"موظف")</f>
        <v>موظف</v>
      </c>
    </row>
    <row r="1502" ht="14.25" customHeight="1">
      <c r="A1502" s="5"/>
      <c r="B1502" s="2" t="s">
        <v>1639</v>
      </c>
      <c r="C1502" s="2">
        <v>6.0</v>
      </c>
      <c r="E1502" s="14" t="s">
        <v>80</v>
      </c>
      <c r="F1502" s="15" t="str">
        <f>IFERROR(__xludf.DUMMYFUNCTION("GOOGLETRANSLATE(B1502,""en"",""ar"")"),"صاحب العمل")</f>
        <v>صاحب العمل</v>
      </c>
    </row>
    <row r="1503" ht="14.25" customHeight="1">
      <c r="A1503" s="5"/>
      <c r="B1503" s="2" t="s">
        <v>1640</v>
      </c>
      <c r="C1503" s="2">
        <v>6.0</v>
      </c>
      <c r="E1503" s="14" t="s">
        <v>236</v>
      </c>
      <c r="F1503" s="15" t="str">
        <f>IFERROR(__xludf.DUMMYFUNCTION("GOOGLETRANSLATE(B1503,""en"",""ar"")"),"ما يعادل")</f>
        <v>ما يعادل</v>
      </c>
    </row>
    <row r="1504" ht="14.25" customHeight="1">
      <c r="A1504" s="5"/>
      <c r="B1504" s="2" t="s">
        <v>1641</v>
      </c>
      <c r="C1504" s="2">
        <v>6.0</v>
      </c>
      <c r="E1504" s="14" t="s">
        <v>43</v>
      </c>
      <c r="F1504" s="15" t="str">
        <f>IFERROR(__xludf.DUMMYFUNCTION("GOOGLETRANSLATE(B1504,""en"",""ar"")"),"في كل مكان")</f>
        <v>في كل مكان</v>
      </c>
    </row>
    <row r="1505" ht="14.25" customHeight="1">
      <c r="A1505" s="5"/>
      <c r="B1505" s="2" t="s">
        <v>1642</v>
      </c>
      <c r="C1505" s="2">
        <v>6.0</v>
      </c>
      <c r="E1505" s="14" t="s">
        <v>1643</v>
      </c>
      <c r="F1505" s="15" t="str">
        <f>IFERROR(__xludf.DUMMYFUNCTION("GOOGLETRANSLATE(B1505,""en"",""ar"")"),"إلا")</f>
        <v>إلا</v>
      </c>
    </row>
    <row r="1506" ht="14.25" customHeight="1">
      <c r="A1506" s="5"/>
      <c r="B1506" s="2" t="s">
        <v>1644</v>
      </c>
      <c r="C1506" s="2">
        <v>6.0</v>
      </c>
      <c r="E1506" s="14" t="s">
        <v>1210</v>
      </c>
      <c r="F1506" s="15" t="str">
        <f>IFERROR(__xludf.DUMMYFUNCTION("GOOGLETRANSLATE(B1506,""en"",""ar"")"),"اصبع اليد")</f>
        <v>اصبع اليد</v>
      </c>
    </row>
    <row r="1507" ht="14.25" customHeight="1">
      <c r="A1507" s="5"/>
      <c r="B1507" s="2" t="s">
        <v>1645</v>
      </c>
      <c r="C1507" s="2">
        <v>6.0</v>
      </c>
      <c r="E1507" s="14" t="s">
        <v>120</v>
      </c>
      <c r="F1507" s="15" t="str">
        <f>IFERROR(__xludf.DUMMYFUNCTION("GOOGLETRANSLATE(B1507,""en"",""ar"")"),"كراج")</f>
        <v>كراج</v>
      </c>
    </row>
    <row r="1508" ht="14.25" customHeight="1">
      <c r="A1508" s="5"/>
      <c r="B1508" s="2" t="s">
        <v>1646</v>
      </c>
      <c r="C1508" s="2">
        <v>6.0</v>
      </c>
      <c r="E1508" s="14" t="s">
        <v>120</v>
      </c>
      <c r="F1508" s="15" t="str">
        <f>IFERROR(__xludf.DUMMYFUNCTION("GOOGLETRANSLATE(B1508,""en"",""ar"")"),"ضمان")</f>
        <v>ضمان</v>
      </c>
    </row>
    <row r="1509" ht="14.25" customHeight="1">
      <c r="A1509" s="5"/>
      <c r="B1509" s="2" t="s">
        <v>1647</v>
      </c>
      <c r="C1509" s="2">
        <v>6.0</v>
      </c>
      <c r="E1509" s="14" t="s">
        <v>80</v>
      </c>
      <c r="F1509" s="15" t="str">
        <f>IFERROR(__xludf.DUMMYFUNCTION("GOOGLETRANSLATE(B1509,""en"",""ar"")"),"زائر")</f>
        <v>زائر</v>
      </c>
    </row>
    <row r="1510" ht="14.25" customHeight="1">
      <c r="A1510" s="5"/>
      <c r="B1510" s="2" t="s">
        <v>1648</v>
      </c>
      <c r="C1510" s="2">
        <v>6.0</v>
      </c>
      <c r="E1510" s="14" t="s">
        <v>1205</v>
      </c>
      <c r="F1510" s="15" t="str">
        <f>IFERROR(__xludf.DUMMYFUNCTION("GOOGLETRANSLATE(B1510,""en"",""ar"")"),"يشنق")</f>
        <v>يشنق</v>
      </c>
    </row>
    <row r="1511" ht="14.25" customHeight="1">
      <c r="A1511" s="5"/>
      <c r="B1511" s="2" t="s">
        <v>1649</v>
      </c>
      <c r="C1511" s="2">
        <v>6.0</v>
      </c>
      <c r="E1511" s="14" t="s">
        <v>80</v>
      </c>
      <c r="F1511" s="15" t="str">
        <f>IFERROR(__xludf.DUMMYFUNCTION("GOOGLETRANSLATE(B1511,""en"",""ar"")"),"ارتفاع")</f>
        <v>ارتفاع</v>
      </c>
    </row>
    <row r="1512" ht="14.25" customHeight="1">
      <c r="A1512" s="5"/>
      <c r="B1512" s="2" t="s">
        <v>1650</v>
      </c>
      <c r="C1512" s="2">
        <v>6.0</v>
      </c>
      <c r="E1512" s="14" t="s">
        <v>31</v>
      </c>
      <c r="F1512" s="15" t="str">
        <f>IFERROR(__xludf.DUMMYFUNCTION("GOOGLETRANSLATE(B1512,""en"",""ar"")"),"نفسه")</f>
        <v>نفسه</v>
      </c>
    </row>
    <row r="1513" ht="14.25" customHeight="1">
      <c r="A1513" s="5"/>
      <c r="B1513" s="2" t="s">
        <v>1651</v>
      </c>
      <c r="C1513" s="2">
        <v>6.0</v>
      </c>
      <c r="E1513" s="14" t="s">
        <v>1210</v>
      </c>
      <c r="F1513" s="15" t="str">
        <f>IFERROR(__xludf.DUMMYFUNCTION("GOOGLETRANSLATE(B1513,""en"",""ar"")"),"الفجوة")</f>
        <v>الفجوة</v>
      </c>
    </row>
    <row r="1514" ht="14.25" customHeight="1">
      <c r="A1514" s="5"/>
      <c r="B1514" s="2" t="s">
        <v>1652</v>
      </c>
      <c r="C1514" s="2">
        <v>6.0</v>
      </c>
      <c r="E1514" s="14" t="s">
        <v>1210</v>
      </c>
      <c r="F1514" s="15" t="str">
        <f>IFERROR(__xludf.DUMMYFUNCTION("GOOGLETRANSLATE(B1514,""en"",""ar"")"),"صنارة صيد")</f>
        <v>صنارة صيد</v>
      </c>
    </row>
    <row r="1515" ht="14.25" customHeight="1">
      <c r="A1515" s="5"/>
      <c r="B1515" s="2" t="s">
        <v>1653</v>
      </c>
      <c r="C1515" s="2">
        <v>6.0</v>
      </c>
      <c r="E1515" s="14" t="s">
        <v>95</v>
      </c>
      <c r="F1515" s="15" t="str">
        <f>IFERROR(__xludf.DUMMYFUNCTION("GOOGLETRANSLATE(B1515,""en"",""ar"")"),"مطاردة")</f>
        <v>مطاردة</v>
      </c>
    </row>
    <row r="1516" ht="14.25" customHeight="1">
      <c r="A1516" s="5"/>
      <c r="B1516" s="2" t="s">
        <v>1654</v>
      </c>
      <c r="C1516" s="2">
        <v>6.0</v>
      </c>
      <c r="E1516" s="14" t="s">
        <v>120</v>
      </c>
      <c r="F1516" s="15" t="str">
        <f>IFERROR(__xludf.DUMMYFUNCTION("GOOGLETRANSLATE(B1516,""en"",""ar"")"),"ينفذ")</f>
        <v>ينفذ</v>
      </c>
    </row>
    <row r="1517" ht="14.25" customHeight="1">
      <c r="A1517" s="5"/>
      <c r="B1517" s="2" t="s">
        <v>1655</v>
      </c>
      <c r="C1517" s="2">
        <v>6.0</v>
      </c>
      <c r="E1517" s="14" t="s">
        <v>406</v>
      </c>
      <c r="F1517" s="15" t="str">
        <f>IFERROR(__xludf.DUMMYFUNCTION("GOOGLETRANSLATE(B1517,""en"",""ar"")"),"مبدئي")</f>
        <v>مبدئي</v>
      </c>
    </row>
    <row r="1518" ht="14.25" customHeight="1">
      <c r="A1518" s="5"/>
      <c r="B1518" s="2" t="s">
        <v>1656</v>
      </c>
      <c r="C1518" s="2">
        <v>6.0</v>
      </c>
      <c r="E1518" s="14" t="s">
        <v>13</v>
      </c>
      <c r="F1518" s="15" t="str">
        <f>IFERROR(__xludf.DUMMYFUNCTION("GOOGLETRANSLATE(B1518,""en"",""ar"")"),"اعتزم")</f>
        <v>اعتزم</v>
      </c>
    </row>
    <row r="1519" ht="14.25" customHeight="1">
      <c r="A1519" s="5"/>
      <c r="B1519" s="2" t="s">
        <v>1657</v>
      </c>
      <c r="C1519" s="2">
        <v>6.0</v>
      </c>
      <c r="E1519" s="14" t="s">
        <v>13</v>
      </c>
      <c r="F1519" s="15" t="str">
        <f>IFERROR(__xludf.DUMMYFUNCTION("GOOGLETRANSLATE(B1519,""en"",""ar"")"),"تقديم")</f>
        <v>تقديم</v>
      </c>
    </row>
    <row r="1520" ht="14.25" customHeight="1">
      <c r="A1520" s="5"/>
      <c r="B1520" s="2" t="s">
        <v>1658</v>
      </c>
      <c r="C1520" s="2">
        <v>6.0</v>
      </c>
      <c r="E1520" s="14" t="s">
        <v>113</v>
      </c>
      <c r="F1520" s="15" t="str">
        <f>IFERROR(__xludf.DUMMYFUNCTION("GOOGLETRANSLATE(B1520,""en"",""ar"")"),"أخير")</f>
        <v>أخير</v>
      </c>
    </row>
    <row r="1521" ht="14.25" customHeight="1">
      <c r="A1521" s="5"/>
      <c r="B1521" s="2" t="s">
        <v>1659</v>
      </c>
      <c r="C1521" s="2">
        <v>6.0</v>
      </c>
      <c r="E1521" s="14" t="s">
        <v>120</v>
      </c>
      <c r="F1521" s="15" t="str">
        <f>IFERROR(__xludf.DUMMYFUNCTION("GOOGLETRANSLATE(B1521,""en"",""ar"")"),"طبقة")</f>
        <v>طبقة</v>
      </c>
    </row>
    <row r="1522" ht="14.25" customHeight="1">
      <c r="A1522" s="5"/>
      <c r="B1522" s="2" t="s">
        <v>1660</v>
      </c>
      <c r="C1522" s="2">
        <v>6.0</v>
      </c>
      <c r="E1522" s="14" t="s">
        <v>80</v>
      </c>
      <c r="F1522" s="15" t="str">
        <f>IFERROR(__xludf.DUMMYFUNCTION("GOOGLETRANSLATE(B1522,""en"",""ar"")"),"قيادة")</f>
        <v>قيادة</v>
      </c>
    </row>
    <row r="1523" ht="14.25" customHeight="1">
      <c r="A1523" s="5"/>
      <c r="B1523" s="2" t="s">
        <v>1661</v>
      </c>
      <c r="C1523" s="2">
        <v>6.0</v>
      </c>
      <c r="E1523" s="14" t="s">
        <v>120</v>
      </c>
      <c r="F1523" s="15" t="str">
        <f>IFERROR(__xludf.DUMMYFUNCTION("GOOGLETRANSLATE(B1523,""en"",""ar"")"),"محاضرة")</f>
        <v>محاضرة</v>
      </c>
    </row>
    <row r="1524" ht="14.25" customHeight="1">
      <c r="A1524" s="5"/>
      <c r="B1524" s="2" t="s">
        <v>1662</v>
      </c>
      <c r="C1524" s="2">
        <v>6.0</v>
      </c>
      <c r="E1524" s="14" t="s">
        <v>1210</v>
      </c>
      <c r="F1524" s="15" t="str">
        <f>IFERROR(__xludf.DUMMYFUNCTION("GOOGLETRANSLATE(B1524,""en"",""ar"")"),"يكذب")</f>
        <v>يكذب</v>
      </c>
    </row>
    <row r="1525" ht="14.25" customHeight="1">
      <c r="A1525" s="5"/>
      <c r="B1525" s="2" t="s">
        <v>1663</v>
      </c>
      <c r="C1525" s="2">
        <v>6.0</v>
      </c>
      <c r="E1525" s="14" t="s">
        <v>80</v>
      </c>
      <c r="F1525" s="15" t="str">
        <f>IFERROR(__xludf.DUMMYFUNCTION("GOOGLETRANSLATE(B1525,""en"",""ar"")"),"مجمع تجاري")</f>
        <v>مجمع تجاري</v>
      </c>
    </row>
    <row r="1526" ht="14.25" customHeight="1">
      <c r="A1526" s="5"/>
      <c r="B1526" s="2" t="s">
        <v>1664</v>
      </c>
      <c r="C1526" s="2">
        <v>6.0</v>
      </c>
      <c r="E1526" s="14" t="s">
        <v>80</v>
      </c>
      <c r="F1526" s="15" t="str">
        <f>IFERROR(__xludf.DUMMYFUNCTION("GOOGLETRANSLATE(B1526,""en"",""ar"")"),"إدارة")</f>
        <v>إدارة</v>
      </c>
    </row>
    <row r="1527" ht="14.25" customHeight="1">
      <c r="A1527" s="5"/>
      <c r="B1527" s="2" t="s">
        <v>1665</v>
      </c>
      <c r="C1527" s="2">
        <v>6.0</v>
      </c>
      <c r="E1527" s="14" t="s">
        <v>1305</v>
      </c>
      <c r="F1527" s="15" t="str">
        <f>IFERROR(__xludf.DUMMYFUNCTION("GOOGLETRANSLATE(B1527,""en"",""ar"")"),"طريقة")</f>
        <v>طريقة</v>
      </c>
    </row>
    <row r="1528" ht="14.25" customHeight="1">
      <c r="A1528" s="5"/>
      <c r="B1528" s="2" t="s">
        <v>1666</v>
      </c>
      <c r="C1528" s="2">
        <v>6.0</v>
      </c>
      <c r="E1528" s="14" t="s">
        <v>1205</v>
      </c>
      <c r="F1528" s="15" t="str">
        <f>IFERROR(__xludf.DUMMYFUNCTION("GOOGLETRANSLATE(B1528,""en"",""ar"")"),"مارس")</f>
        <v>مارس</v>
      </c>
    </row>
    <row r="1529" ht="14.25" customHeight="1">
      <c r="A1529" s="5"/>
      <c r="B1529" s="2" t="s">
        <v>1667</v>
      </c>
      <c r="C1529" s="2">
        <v>6.0</v>
      </c>
      <c r="E1529" s="14" t="s">
        <v>1193</v>
      </c>
      <c r="F1529" s="15" t="str">
        <f>IFERROR(__xludf.DUMMYFUNCTION("GOOGLETRANSLATE(B1529,""en"",""ar"")"),"متزوج \ متزوجة")</f>
        <v>متزوج \ متزوجة</v>
      </c>
    </row>
    <row r="1530" ht="14.25" customHeight="1">
      <c r="A1530" s="5"/>
      <c r="B1530" s="2" t="s">
        <v>1668</v>
      </c>
      <c r="C1530" s="2">
        <v>6.0</v>
      </c>
      <c r="E1530" s="14" t="s">
        <v>1305</v>
      </c>
      <c r="F1530" s="15" t="str">
        <f>IFERROR(__xludf.DUMMYFUNCTION("GOOGLETRANSLATE(B1530,""en"",""ar"")"),"اجتماع")</f>
        <v>اجتماع</v>
      </c>
    </row>
    <row r="1531" ht="14.25" customHeight="1">
      <c r="A1531" s="5"/>
      <c r="B1531" s="2" t="s">
        <v>1669</v>
      </c>
      <c r="C1531" s="2">
        <v>6.0</v>
      </c>
      <c r="E1531" s="14" t="s">
        <v>1205</v>
      </c>
      <c r="F1531" s="15" t="str">
        <f>IFERROR(__xludf.DUMMYFUNCTION("GOOGLETRANSLATE(B1531,""en"",""ar"")"),"أشير")</f>
        <v>أشير</v>
      </c>
    </row>
    <row r="1532" ht="14.25" customHeight="1">
      <c r="A1532" s="5"/>
      <c r="B1532" s="2" t="s">
        <v>1670</v>
      </c>
      <c r="C1532" s="2">
        <v>6.0</v>
      </c>
      <c r="E1532" s="14" t="s">
        <v>510</v>
      </c>
      <c r="F1532" s="15" t="str">
        <f>IFERROR(__xludf.DUMMYFUNCTION("GOOGLETRANSLATE(B1532,""en"",""ar"")"),"ضيق")</f>
        <v>ضيق</v>
      </c>
    </row>
    <row r="1533" ht="14.25" customHeight="1">
      <c r="A1533" s="5"/>
      <c r="B1533" s="2" t="s">
        <v>1671</v>
      </c>
      <c r="C1533" s="2">
        <v>6.0</v>
      </c>
      <c r="E1533" s="14" t="s">
        <v>51</v>
      </c>
      <c r="F1533" s="15" t="str">
        <f>IFERROR(__xludf.DUMMYFUNCTION("GOOGLETRANSLATE(B1533,""en"",""ar"")"),"مجاور")</f>
        <v>مجاور</v>
      </c>
    </row>
    <row r="1534" ht="14.25" customHeight="1">
      <c r="A1534" s="5"/>
      <c r="B1534" s="2" t="s">
        <v>1672</v>
      </c>
      <c r="C1534" s="2">
        <v>6.0</v>
      </c>
      <c r="E1534" s="14" t="s">
        <v>1673</v>
      </c>
      <c r="F1534" s="15" t="str">
        <f>IFERROR(__xludf.DUMMYFUNCTION("GOOGLETRANSLATE(B1534,""en"",""ar"")"),"لا هذا ولا ذاك")</f>
        <v>لا هذا ولا ذاك</v>
      </c>
    </row>
    <row r="1535" ht="14.25" customHeight="1">
      <c r="A1535" s="5"/>
      <c r="B1535" s="2" t="s">
        <v>1674</v>
      </c>
      <c r="C1535" s="2">
        <v>6.0</v>
      </c>
      <c r="E1535" s="14" t="s">
        <v>1210</v>
      </c>
      <c r="F1535" s="15" t="str">
        <f>IFERROR(__xludf.DUMMYFUNCTION("GOOGLETRANSLATE(B1535,""en"",""ar"")"),"الأنف")</f>
        <v>الأنف</v>
      </c>
    </row>
    <row r="1536" ht="14.25" customHeight="1">
      <c r="A1536" s="5"/>
      <c r="B1536" s="2" t="s">
        <v>1675</v>
      </c>
      <c r="C1536" s="2">
        <v>6.0</v>
      </c>
      <c r="E1536" s="14" t="s">
        <v>43</v>
      </c>
      <c r="F1536" s="15" t="str">
        <f>IFERROR(__xludf.DUMMYFUNCTION("GOOGLETRANSLATE(B1536,""en"",""ar"")"),"بوضوح")</f>
        <v>بوضوح</v>
      </c>
    </row>
    <row r="1537" ht="14.25" customHeight="1">
      <c r="A1537" s="5"/>
      <c r="B1537" s="2" t="s">
        <v>1676</v>
      </c>
      <c r="C1537" s="2">
        <v>6.0</v>
      </c>
      <c r="E1537" s="14" t="s">
        <v>80</v>
      </c>
      <c r="F1537" s="15" t="str">
        <f>IFERROR(__xludf.DUMMYFUNCTION("GOOGLETRANSLATE(B1537,""en"",""ar"")"),"عملية")</f>
        <v>عملية</v>
      </c>
    </row>
    <row r="1538" ht="14.25" customHeight="1">
      <c r="A1538" s="5"/>
      <c r="B1538" s="2" t="s">
        <v>1677</v>
      </c>
      <c r="C1538" s="2">
        <v>6.0</v>
      </c>
      <c r="E1538" s="14" t="s">
        <v>149</v>
      </c>
      <c r="F1538" s="15" t="str">
        <f>IFERROR(__xludf.DUMMYFUNCTION("GOOGLETRANSLATE(B1538,""en"",""ar"")"),"موقف سيارات")</f>
        <v>موقف سيارات</v>
      </c>
    </row>
    <row r="1539" ht="14.25" customHeight="1">
      <c r="A1539" s="5"/>
      <c r="B1539" s="2" t="s">
        <v>1678</v>
      </c>
      <c r="C1539" s="2">
        <v>6.0</v>
      </c>
      <c r="E1539" s="14" t="s">
        <v>120</v>
      </c>
      <c r="F1539" s="15" t="str">
        <f>IFERROR(__xludf.DUMMYFUNCTION("GOOGLETRANSLATE(B1539,""en"",""ar"")"),"شريك")</f>
        <v>شريك</v>
      </c>
    </row>
    <row r="1540" ht="14.25" customHeight="1">
      <c r="A1540" s="5"/>
      <c r="B1540" s="2" t="s">
        <v>1679</v>
      </c>
      <c r="C1540" s="2">
        <v>6.0</v>
      </c>
      <c r="E1540" s="14" t="s">
        <v>43</v>
      </c>
      <c r="F1540" s="15" t="str">
        <f>IFERROR(__xludf.DUMMYFUNCTION("GOOGLETRANSLATE(B1540,""en"",""ar"")"),"تماما")</f>
        <v>تماما</v>
      </c>
    </row>
    <row r="1541" ht="14.25" customHeight="1">
      <c r="A1541" s="5"/>
      <c r="B1541" s="2" t="s">
        <v>1680</v>
      </c>
      <c r="C1541" s="2">
        <v>6.0</v>
      </c>
      <c r="E1541" s="14" t="s">
        <v>43</v>
      </c>
      <c r="F1541" s="15" t="str">
        <f>IFERROR(__xludf.DUMMYFUNCTION("GOOGLETRANSLATE(B1541,""en"",""ar"")"),"جسديا")</f>
        <v>جسديا</v>
      </c>
    </row>
    <row r="1542" ht="14.25" customHeight="1">
      <c r="A1542" s="5"/>
      <c r="B1542" s="2" t="s">
        <v>1681</v>
      </c>
      <c r="C1542" s="2">
        <v>6.0</v>
      </c>
      <c r="E1542" s="14" t="s">
        <v>120</v>
      </c>
      <c r="F1542" s="15" t="str">
        <f>IFERROR(__xludf.DUMMYFUNCTION("GOOGLETRANSLATE(B1542,""en"",""ar"")"),"الملف الشخصي")</f>
        <v>الملف الشخصي</v>
      </c>
    </row>
    <row r="1543" ht="14.25" customHeight="1">
      <c r="A1543" s="5"/>
      <c r="B1543" s="2" t="s">
        <v>1682</v>
      </c>
      <c r="C1543" s="2">
        <v>6.0</v>
      </c>
      <c r="E1543" s="14" t="s">
        <v>1500</v>
      </c>
      <c r="F1543" s="15" t="str">
        <f>IFERROR(__xludf.DUMMYFUNCTION("GOOGLETRANSLATE(B1543,""en"",""ar"")"),"فخور")</f>
        <v>فخور</v>
      </c>
    </row>
    <row r="1544" ht="14.25" customHeight="1">
      <c r="A1544" s="5"/>
      <c r="B1544" s="2" t="s">
        <v>1683</v>
      </c>
      <c r="C1544" s="2">
        <v>6.0</v>
      </c>
      <c r="E1544" s="14" t="s">
        <v>80</v>
      </c>
      <c r="F1544" s="15" t="str">
        <f>IFERROR(__xludf.DUMMYFUNCTION("GOOGLETRANSLATE(B1544,""en"",""ar"")"),"تسجيل")</f>
        <v>تسجيل</v>
      </c>
    </row>
    <row r="1545" ht="14.25" customHeight="1">
      <c r="A1545" s="5"/>
      <c r="B1545" s="2" t="s">
        <v>1684</v>
      </c>
      <c r="C1545" s="2">
        <v>6.0</v>
      </c>
      <c r="E1545" s="14" t="s">
        <v>13</v>
      </c>
      <c r="F1545" s="15" t="str">
        <f>IFERROR(__xludf.DUMMYFUNCTION("GOOGLETRANSLATE(B1545,""en"",""ar"")"),"ترتبط")</f>
        <v>ترتبط</v>
      </c>
    </row>
    <row r="1546" ht="14.25" customHeight="1">
      <c r="A1546" s="5"/>
      <c r="B1546" s="2" t="s">
        <v>1685</v>
      </c>
      <c r="C1546" s="2">
        <v>6.0</v>
      </c>
      <c r="E1546" s="14" t="s">
        <v>120</v>
      </c>
      <c r="F1546" s="15" t="str">
        <f>IFERROR(__xludf.DUMMYFUNCTION("GOOGLETRANSLATE(B1546,""en"",""ar"")"),"احترام")</f>
        <v>احترام</v>
      </c>
    </row>
    <row r="1547" ht="14.25" customHeight="1">
      <c r="A1547" s="5"/>
      <c r="B1547" s="2" t="s">
        <v>1686</v>
      </c>
      <c r="C1547" s="2">
        <v>6.0</v>
      </c>
      <c r="E1547" s="14" t="s">
        <v>120</v>
      </c>
      <c r="F1547" s="15" t="str">
        <f>IFERROR(__xludf.DUMMYFUNCTION("GOOGLETRANSLATE(B1547,""en"",""ar"")"),"أرز")</f>
        <v>أرز</v>
      </c>
    </row>
    <row r="1548" ht="14.25" customHeight="1">
      <c r="A1548" s="5"/>
      <c r="B1548" s="2" t="s">
        <v>1687</v>
      </c>
      <c r="C1548" s="2">
        <v>6.0</v>
      </c>
      <c r="E1548" s="14" t="s">
        <v>149</v>
      </c>
      <c r="F1548" s="15" t="str">
        <f>IFERROR(__xludf.DUMMYFUNCTION("GOOGLETRANSLATE(B1548,""en"",""ar"")"),"نمط")</f>
        <v>نمط</v>
      </c>
    </row>
    <row r="1549" ht="14.25" customHeight="1">
      <c r="A1549" s="5"/>
      <c r="B1549" s="2" t="s">
        <v>1688</v>
      </c>
      <c r="C1549" s="2">
        <v>6.0</v>
      </c>
      <c r="E1549" s="14" t="s">
        <v>80</v>
      </c>
      <c r="F1549" s="15" t="str">
        <f>IFERROR(__xludf.DUMMYFUNCTION("GOOGLETRANSLATE(B1549,""en"",""ar"")"),"عينة")</f>
        <v>عينة</v>
      </c>
    </row>
    <row r="1550" ht="14.25" customHeight="1">
      <c r="A1550" s="5"/>
      <c r="B1550" s="2" t="s">
        <v>1689</v>
      </c>
      <c r="C1550" s="2">
        <v>6.0</v>
      </c>
      <c r="E1550" s="14" t="s">
        <v>120</v>
      </c>
      <c r="F1550" s="15" t="str">
        <f>IFERROR(__xludf.DUMMYFUNCTION("GOOGLETRANSLATE(B1550,""en"",""ar"")"),"برنامج")</f>
        <v>برنامج</v>
      </c>
    </row>
    <row r="1551" ht="14.25" customHeight="1">
      <c r="A1551" s="5"/>
      <c r="B1551" s="2" t="s">
        <v>1690</v>
      </c>
      <c r="C1551" s="2">
        <v>6.0</v>
      </c>
      <c r="E1551" s="14" t="s">
        <v>13</v>
      </c>
      <c r="F1551" s="15" t="str">
        <f>IFERROR(__xludf.DUMMYFUNCTION("GOOGLETRANSLATE(B1551,""en"",""ar"")"),"تسوية")</f>
        <v>تسوية</v>
      </c>
    </row>
    <row r="1552" ht="14.25" customHeight="1">
      <c r="A1552" s="5"/>
      <c r="B1552" s="2" t="s">
        <v>1691</v>
      </c>
      <c r="C1552" s="2">
        <v>6.0</v>
      </c>
      <c r="E1552" s="14" t="s">
        <v>95</v>
      </c>
      <c r="F1552" s="15" t="str">
        <f>IFERROR(__xludf.DUMMYFUNCTION("GOOGLETRANSLATE(B1552,""en"",""ar"")"),"رائحة")</f>
        <v>رائحة</v>
      </c>
    </row>
    <row r="1553" ht="14.25" customHeight="1">
      <c r="A1553" s="5"/>
      <c r="B1553" s="2" t="s">
        <v>1692</v>
      </c>
      <c r="C1553" s="2">
        <v>6.0</v>
      </c>
      <c r="E1553" s="14" t="s">
        <v>1693</v>
      </c>
      <c r="F1553" s="15" t="str">
        <f>IFERROR(__xludf.DUMMYFUNCTION("GOOGLETRANSLATE(B1553,""en"",""ar"")"),"بطريقة ما")</f>
        <v>بطريقة ما</v>
      </c>
    </row>
    <row r="1554" ht="14.25" customHeight="1">
      <c r="A1554" s="5"/>
      <c r="B1554" s="2" t="s">
        <v>1694</v>
      </c>
      <c r="C1554" s="2">
        <v>6.0</v>
      </c>
      <c r="E1554" s="14" t="s">
        <v>236</v>
      </c>
      <c r="F1554" s="15" t="str">
        <f>IFERROR(__xludf.DUMMYFUNCTION("GOOGLETRANSLATE(B1554,""en"",""ar"")"),"روحية")</f>
        <v>روحية</v>
      </c>
    </row>
    <row r="1555" ht="14.25" customHeight="1">
      <c r="A1555" s="5"/>
      <c r="B1555" s="2" t="s">
        <v>1695</v>
      </c>
      <c r="C1555" s="2">
        <v>6.0</v>
      </c>
      <c r="E1555" s="14" t="s">
        <v>95</v>
      </c>
      <c r="F1555" s="15" t="str">
        <f>IFERROR(__xludf.DUMMYFUNCTION("GOOGLETRANSLATE(B1555,""en"",""ar"")"),"الدراسة الاستكشافية")</f>
        <v>الدراسة الاستكشافية</v>
      </c>
    </row>
    <row r="1556" ht="14.25" customHeight="1">
      <c r="A1556" s="5"/>
      <c r="B1556" s="2" t="s">
        <v>1696</v>
      </c>
      <c r="C1556" s="2">
        <v>6.0</v>
      </c>
      <c r="E1556" s="14" t="s">
        <v>149</v>
      </c>
      <c r="F1556" s="15" t="str">
        <f>IFERROR(__xludf.DUMMYFUNCTION("GOOGLETRANSLATE(B1556,""en"",""ar"")"),"سباحة")</f>
        <v>سباحة</v>
      </c>
    </row>
    <row r="1557" ht="14.25" customHeight="1">
      <c r="A1557" s="5"/>
      <c r="B1557" s="2" t="s">
        <v>1697</v>
      </c>
      <c r="C1557" s="2">
        <v>6.0</v>
      </c>
      <c r="E1557" s="14" t="s">
        <v>120</v>
      </c>
      <c r="F1557" s="15" t="str">
        <f>IFERROR(__xludf.DUMMYFUNCTION("GOOGLETRANSLATE(B1557,""en"",""ar"")"),"هاتف")</f>
        <v>هاتف</v>
      </c>
    </row>
    <row r="1558" ht="14.25" customHeight="1">
      <c r="A1558" s="5"/>
      <c r="B1558" s="2" t="s">
        <v>1698</v>
      </c>
      <c r="C1558" s="2">
        <v>6.0</v>
      </c>
      <c r="E1558" s="14" t="s">
        <v>1205</v>
      </c>
      <c r="F1558" s="15" t="str">
        <f>IFERROR(__xludf.DUMMYFUNCTION("GOOGLETRANSLATE(B1558,""en"",""ar"")"),"ربطة عنق")</f>
        <v>ربطة عنق</v>
      </c>
    </row>
    <row r="1559" ht="14.25" customHeight="1">
      <c r="A1559" s="5"/>
      <c r="B1559" s="2" t="s">
        <v>1699</v>
      </c>
      <c r="C1559" s="2">
        <v>6.0</v>
      </c>
      <c r="E1559" s="14" t="s">
        <v>120</v>
      </c>
      <c r="F1559" s="15" t="str">
        <f>IFERROR(__xludf.DUMMYFUNCTION("GOOGLETRANSLATE(B1559,""en"",""ar"")"),"تلميح")</f>
        <v>تلميح</v>
      </c>
    </row>
    <row r="1560" ht="14.25" customHeight="1">
      <c r="A1560" s="5"/>
      <c r="B1560" s="2" t="s">
        <v>1700</v>
      </c>
      <c r="C1560" s="2">
        <v>6.0</v>
      </c>
      <c r="E1560" s="14" t="s">
        <v>80</v>
      </c>
      <c r="F1560" s="15" t="str">
        <f>IFERROR(__xludf.DUMMYFUNCTION("GOOGLETRANSLATE(B1560,""en"",""ar"")"),"وسائل النقل")</f>
        <v>وسائل النقل</v>
      </c>
    </row>
    <row r="1561" ht="14.25" customHeight="1">
      <c r="A1561" s="5"/>
      <c r="B1561" s="2" t="s">
        <v>1701</v>
      </c>
      <c r="C1561" s="2">
        <v>6.0</v>
      </c>
      <c r="E1561" s="14" t="s">
        <v>113</v>
      </c>
      <c r="F1561" s="15" t="str">
        <f>IFERROR(__xludf.DUMMYFUNCTION("GOOGLETRANSLATE(B1561,""en"",""ar"")"),"تعيس")</f>
        <v>تعيس</v>
      </c>
    </row>
    <row r="1562" ht="14.25" customHeight="1">
      <c r="A1562" s="5"/>
      <c r="B1562" s="2" t="s">
        <v>1702</v>
      </c>
      <c r="C1562" s="2">
        <v>6.0</v>
      </c>
      <c r="E1562" s="14" t="s">
        <v>1272</v>
      </c>
      <c r="F1562" s="15" t="str">
        <f>IFERROR(__xludf.DUMMYFUNCTION("GOOGLETRANSLATE(B1562,""en"",""ar"")"),"بري")</f>
        <v>بري</v>
      </c>
    </row>
    <row r="1563" ht="14.25" customHeight="1">
      <c r="A1563" s="5"/>
      <c r="B1563" s="2" t="s">
        <v>1703</v>
      </c>
      <c r="C1563" s="2">
        <v>6.0</v>
      </c>
      <c r="E1563" s="14" t="s">
        <v>84</v>
      </c>
      <c r="F1563" s="15" t="str">
        <f>IFERROR(__xludf.DUMMYFUNCTION("GOOGLETRANSLATE(B1563,""en"",""ar"")"),"الشتاء")</f>
        <v>الشتاء</v>
      </c>
    </row>
    <row r="1564" ht="14.25" customHeight="1">
      <c r="A1564" s="5"/>
      <c r="B1564" s="2" t="s">
        <v>1704</v>
      </c>
      <c r="C1564" s="2">
        <v>5.0</v>
      </c>
      <c r="E1564" s="14" t="s">
        <v>307</v>
      </c>
      <c r="F1564" s="15" t="str">
        <f>IFERROR(__xludf.DUMMYFUNCTION("GOOGLETRANSLATE(B1564,""en"",""ar"")"),"إطلاقا")</f>
        <v>إطلاقا</v>
      </c>
    </row>
    <row r="1565" ht="14.25" customHeight="1">
      <c r="A1565" s="5"/>
      <c r="B1565" s="2" t="s">
        <v>1705</v>
      </c>
      <c r="C1565" s="2">
        <v>5.0</v>
      </c>
      <c r="E1565" s="14" t="s">
        <v>113</v>
      </c>
      <c r="F1565" s="15" t="str">
        <f>IFERROR(__xludf.DUMMYFUNCTION("GOOGLETRANSLATE(B1565,""en"",""ar"")"),"مقبول")</f>
        <v>مقبول</v>
      </c>
    </row>
    <row r="1566" ht="14.25" customHeight="1">
      <c r="A1566" s="5"/>
      <c r="B1566" s="2" t="s">
        <v>1706</v>
      </c>
      <c r="C1566" s="2">
        <v>5.0</v>
      </c>
      <c r="E1566" s="14" t="s">
        <v>236</v>
      </c>
      <c r="F1566" s="15" t="str">
        <f>IFERROR(__xludf.DUMMYFUNCTION("GOOGLETRANSLATE(B1566,""en"",""ar"")"),"بالغ")</f>
        <v>بالغ</v>
      </c>
    </row>
    <row r="1567" ht="14.25" customHeight="1">
      <c r="A1567" s="5"/>
      <c r="B1567" s="2" t="s">
        <v>1707</v>
      </c>
      <c r="C1567" s="2">
        <v>5.0</v>
      </c>
      <c r="E1567" s="14" t="s">
        <v>113</v>
      </c>
      <c r="F1567" s="15" t="str">
        <f>IFERROR(__xludf.DUMMYFUNCTION("GOOGLETRANSLATE(B1567,""en"",""ar"")"),"عنيف")</f>
        <v>عنيف</v>
      </c>
    </row>
    <row r="1568" ht="14.25" customHeight="1">
      <c r="A1568" s="5"/>
      <c r="B1568" s="2" t="s">
        <v>1708</v>
      </c>
      <c r="C1568" s="2">
        <v>5.0</v>
      </c>
      <c r="E1568" s="14" t="s">
        <v>149</v>
      </c>
      <c r="F1568" s="15" t="str">
        <f>IFERROR(__xludf.DUMMYFUNCTION("GOOGLETRANSLATE(B1568,""en"",""ar"")"),"شركة طيران")</f>
        <v>شركة طيران</v>
      </c>
    </row>
    <row r="1569" ht="14.25" customHeight="1">
      <c r="A1569" s="5"/>
      <c r="B1569" s="2" t="s">
        <v>1709</v>
      </c>
      <c r="C1569" s="2">
        <v>5.0</v>
      </c>
      <c r="E1569" s="14" t="s">
        <v>51</v>
      </c>
      <c r="F1569" s="15" t="str">
        <f>IFERROR(__xludf.DUMMYFUNCTION("GOOGLETRANSLATE(B1569,""en"",""ar"")"),"بعيدا، بمعزل، على حد")</f>
        <v>بعيدا، بمعزل، على حد</v>
      </c>
    </row>
    <row r="1570" ht="14.25" customHeight="1">
      <c r="A1570" s="5"/>
      <c r="B1570" s="2" t="s">
        <v>1710</v>
      </c>
      <c r="C1570" s="2">
        <v>5.0</v>
      </c>
      <c r="E1570" s="14" t="s">
        <v>13</v>
      </c>
      <c r="F1570" s="15" t="str">
        <f>IFERROR(__xludf.DUMMYFUNCTION("GOOGLETRANSLATE(B1570,""en"",""ar"")"),"تأكد")</f>
        <v>تأكد</v>
      </c>
    </row>
    <row r="1571" ht="14.25" customHeight="1">
      <c r="A1571" s="5"/>
      <c r="B1571" s="2" t="s">
        <v>1711</v>
      </c>
      <c r="C1571" s="2">
        <v>5.0</v>
      </c>
      <c r="E1571" s="14" t="s">
        <v>13</v>
      </c>
      <c r="F1571" s="15" t="str">
        <f>IFERROR(__xludf.DUMMYFUNCTION("GOOGLETRANSLATE(B1571,""en"",""ar"")"),"جذب")</f>
        <v>جذب</v>
      </c>
    </row>
    <row r="1572" ht="14.25" customHeight="1">
      <c r="A1572" s="5"/>
      <c r="B1572" s="2" t="s">
        <v>1712</v>
      </c>
      <c r="C1572" s="2">
        <v>5.0</v>
      </c>
      <c r="E1572" s="14" t="s">
        <v>120</v>
      </c>
      <c r="F1572" s="15" t="str">
        <f>IFERROR(__xludf.DUMMYFUNCTION("GOOGLETRANSLATE(B1572,""en"",""ar"")"),"حقيبة")</f>
        <v>حقيبة</v>
      </c>
    </row>
    <row r="1573" ht="14.25" customHeight="1">
      <c r="A1573" s="5"/>
      <c r="B1573" s="2" t="s">
        <v>1713</v>
      </c>
      <c r="C1573" s="2">
        <v>5.0</v>
      </c>
      <c r="E1573" s="14" t="s">
        <v>120</v>
      </c>
      <c r="F1573" s="15" t="str">
        <f>IFERROR(__xludf.DUMMYFUNCTION("GOOGLETRANSLATE(B1573,""en"",""ar"")"),"معركة")</f>
        <v>معركة</v>
      </c>
    </row>
    <row r="1574" ht="14.25" customHeight="1">
      <c r="A1574" s="5"/>
      <c r="B1574" s="2" t="s">
        <v>1714</v>
      </c>
      <c r="C1574" s="2">
        <v>5.0</v>
      </c>
      <c r="E1574" s="14" t="s">
        <v>120</v>
      </c>
      <c r="F1574" s="15" t="str">
        <f>IFERROR(__xludf.DUMMYFUNCTION("GOOGLETRANSLATE(B1574,""en"",""ar"")"),"سرير")</f>
        <v>سرير</v>
      </c>
    </row>
    <row r="1575" ht="14.25" customHeight="1">
      <c r="A1575" s="5"/>
      <c r="B1575" s="2" t="s">
        <v>1715</v>
      </c>
      <c r="C1575" s="2">
        <v>5.0</v>
      </c>
      <c r="E1575" s="14" t="s">
        <v>120</v>
      </c>
      <c r="F1575" s="15" t="str">
        <f>IFERROR(__xludf.DUMMYFUNCTION("GOOGLETRANSLATE(B1575,""en"",""ar"")"),"مشروع قانون")</f>
        <v>مشروع قانون</v>
      </c>
    </row>
    <row r="1576" ht="14.25" customHeight="1">
      <c r="A1576" s="5"/>
      <c r="B1576" s="2" t="s">
        <v>1716</v>
      </c>
      <c r="C1576" s="2">
        <v>5.0</v>
      </c>
      <c r="E1576" s="14" t="s">
        <v>113</v>
      </c>
      <c r="F1576" s="15" t="str">
        <f>IFERROR(__xludf.DUMMYFUNCTION("GOOGLETRANSLATE(B1576,""en"",""ar"")"),"ممل")</f>
        <v>ممل</v>
      </c>
    </row>
    <row r="1577" ht="14.25" customHeight="1">
      <c r="A1577" s="5"/>
      <c r="B1577" s="2" t="s">
        <v>1717</v>
      </c>
      <c r="C1577" s="2">
        <v>5.0</v>
      </c>
      <c r="E1577" s="14" t="s">
        <v>120</v>
      </c>
      <c r="F1577" s="15" t="str">
        <f>IFERROR(__xludf.DUMMYFUNCTION("GOOGLETRANSLATE(B1577,""en"",""ar"")"),"يزعج")</f>
        <v>يزعج</v>
      </c>
    </row>
    <row r="1578" ht="14.25" customHeight="1">
      <c r="A1578" s="5"/>
      <c r="B1578" s="2" t="s">
        <v>1718</v>
      </c>
      <c r="C1578" s="2">
        <v>5.0</v>
      </c>
      <c r="E1578" s="14" t="s">
        <v>406</v>
      </c>
      <c r="F1578" s="15" t="str">
        <f>IFERROR(__xludf.DUMMYFUNCTION("GOOGLETRANSLATE(B1578,""en"",""ar"")"),"مختصر")</f>
        <v>مختصر</v>
      </c>
    </row>
    <row r="1579" ht="14.25" customHeight="1">
      <c r="A1579" s="5"/>
      <c r="B1579" s="2" t="s">
        <v>1719</v>
      </c>
      <c r="C1579" s="2">
        <v>5.0</v>
      </c>
      <c r="E1579" s="14" t="s">
        <v>120</v>
      </c>
      <c r="F1579" s="15" t="str">
        <f>IFERROR(__xludf.DUMMYFUNCTION("GOOGLETRANSLATE(B1579,""en"",""ar"")"),"كيك")</f>
        <v>كيك</v>
      </c>
    </row>
    <row r="1580" ht="14.25" customHeight="1">
      <c r="A1580" s="5"/>
      <c r="B1580" s="2" t="s">
        <v>1720</v>
      </c>
      <c r="C1580" s="2">
        <v>5.0</v>
      </c>
      <c r="E1580" s="14" t="s">
        <v>80</v>
      </c>
      <c r="F1580" s="15" t="str">
        <f>IFERROR(__xludf.DUMMYFUNCTION("GOOGLETRANSLATE(B1580,""en"",""ar"")"),"الاعمال الخيرية")</f>
        <v>الاعمال الخيرية</v>
      </c>
    </row>
    <row r="1581" ht="14.25" customHeight="1">
      <c r="A1581" s="5"/>
      <c r="B1581" s="2" t="s">
        <v>1721</v>
      </c>
      <c r="C1581" s="2">
        <v>5.0</v>
      </c>
      <c r="E1581" s="14" t="s">
        <v>120</v>
      </c>
      <c r="F1581" s="15" t="str">
        <f>IFERROR(__xludf.DUMMYFUNCTION("GOOGLETRANSLATE(B1581,""en"",""ar"")"),"الشفرة")</f>
        <v>الشفرة</v>
      </c>
    </row>
    <row r="1582" ht="14.25" customHeight="1">
      <c r="A1582" s="5"/>
      <c r="B1582" s="2" t="s">
        <v>1722</v>
      </c>
      <c r="C1582" s="2">
        <v>5.0</v>
      </c>
      <c r="E1582" s="14" t="s">
        <v>80</v>
      </c>
      <c r="F1582" s="15" t="str">
        <f>IFERROR(__xludf.DUMMYFUNCTION("GOOGLETRANSLATE(B1582,""en"",""ar"")"),"ابن عم")</f>
        <v>ابن عم</v>
      </c>
    </row>
    <row r="1583" ht="14.25" customHeight="1">
      <c r="A1583" s="5"/>
      <c r="B1583" s="2" t="s">
        <v>1723</v>
      </c>
      <c r="C1583" s="2">
        <v>5.0</v>
      </c>
      <c r="E1583" s="14" t="s">
        <v>1390</v>
      </c>
      <c r="F1583" s="15" t="str">
        <f>IFERROR(__xludf.DUMMYFUNCTION("GOOGLETRANSLATE(B1583,""en"",""ar"")"),"مجنون")</f>
        <v>مجنون</v>
      </c>
    </row>
    <row r="1584" ht="14.25" customHeight="1">
      <c r="A1584" s="5"/>
      <c r="B1584" s="2" t="s">
        <v>1724</v>
      </c>
      <c r="C1584" s="2">
        <v>5.0</v>
      </c>
      <c r="E1584" s="14" t="s">
        <v>1210</v>
      </c>
      <c r="F1584" s="15" t="str">
        <f>IFERROR(__xludf.DUMMYFUNCTION("GOOGLETRANSLATE(B1584,""en"",""ar"")"),"منحنى")</f>
        <v>منحنى</v>
      </c>
    </row>
    <row r="1585" ht="14.25" customHeight="1">
      <c r="A1585" s="5"/>
      <c r="B1585" s="2" t="s">
        <v>1725</v>
      </c>
      <c r="C1585" s="2">
        <v>5.0</v>
      </c>
      <c r="E1585" s="14" t="s">
        <v>149</v>
      </c>
      <c r="F1585" s="15" t="str">
        <f>IFERROR(__xludf.DUMMYFUNCTION("GOOGLETRANSLATE(B1585,""en"",""ar"")"),"مصمم")</f>
        <v>مصمم</v>
      </c>
    </row>
    <row r="1586" ht="14.25" customHeight="1">
      <c r="A1586" s="5"/>
      <c r="B1586" s="2" t="s">
        <v>1726</v>
      </c>
      <c r="C1586" s="2">
        <v>5.0</v>
      </c>
      <c r="E1586" s="14" t="s">
        <v>120</v>
      </c>
      <c r="F1586" s="15" t="str">
        <f>IFERROR(__xludf.DUMMYFUNCTION("GOOGLETRANSLATE(B1586,""en"",""ar"")"),"البعد")</f>
        <v>البعد</v>
      </c>
    </row>
    <row r="1587" ht="14.25" customHeight="1">
      <c r="A1587" s="5"/>
      <c r="B1587" s="2" t="s">
        <v>1727</v>
      </c>
      <c r="C1587" s="2">
        <v>5.0</v>
      </c>
      <c r="E1587" s="14" t="s">
        <v>80</v>
      </c>
      <c r="F1587" s="15" t="str">
        <f>IFERROR(__xludf.DUMMYFUNCTION("GOOGLETRANSLATE(B1587,""en"",""ar"")"),"كارثة")</f>
        <v>كارثة</v>
      </c>
    </row>
    <row r="1588" ht="14.25" customHeight="1">
      <c r="A1588" s="5"/>
      <c r="B1588" s="2" t="s">
        <v>1728</v>
      </c>
      <c r="C1588" s="2">
        <v>5.0</v>
      </c>
      <c r="E1588" s="14" t="s">
        <v>113</v>
      </c>
      <c r="F1588" s="15" t="str">
        <f>IFERROR(__xludf.DUMMYFUNCTION("GOOGLETRANSLATE(B1588,""en"",""ar"")"),"خامد")</f>
        <v>خامد</v>
      </c>
    </row>
    <row r="1589" ht="14.25" customHeight="1">
      <c r="A1589" s="5"/>
      <c r="B1589" s="2" t="s">
        <v>1729</v>
      </c>
      <c r="C1589" s="2">
        <v>5.0</v>
      </c>
      <c r="E1589" s="14" t="s">
        <v>13</v>
      </c>
      <c r="F1589" s="15" t="str">
        <f>IFERROR(__xludf.DUMMYFUNCTION("GOOGLETRANSLATE(B1589,""en"",""ar"")"),"نشر")</f>
        <v>نشر</v>
      </c>
    </row>
    <row r="1590" ht="14.25" customHeight="1">
      <c r="A1590" s="5"/>
      <c r="B1590" s="2" t="s">
        <v>1730</v>
      </c>
      <c r="C1590" s="2">
        <v>5.0</v>
      </c>
      <c r="E1590" s="14" t="s">
        <v>84</v>
      </c>
      <c r="F1590" s="15" t="str">
        <f>IFERROR(__xludf.DUMMYFUNCTION("GOOGLETRANSLATE(B1590,""en"",""ar"")"),"فستان")</f>
        <v>فستان</v>
      </c>
    </row>
    <row r="1591" ht="14.25" customHeight="1">
      <c r="A1591" s="5"/>
      <c r="B1591" s="2" t="s">
        <v>1731</v>
      </c>
      <c r="C1591" s="2">
        <v>5.0</v>
      </c>
      <c r="E1591" s="14" t="s">
        <v>120</v>
      </c>
      <c r="F1591" s="15" t="str">
        <f>IFERROR(__xludf.DUMMYFUNCTION("GOOGLETRANSLATE(B1591,""en"",""ar"")"),"يُسَهّل")</f>
        <v>يُسَهّل</v>
      </c>
    </row>
    <row r="1592" ht="14.25" customHeight="1">
      <c r="A1592" s="5"/>
      <c r="B1592" s="2" t="s">
        <v>1732</v>
      </c>
      <c r="C1592" s="2">
        <v>5.0</v>
      </c>
      <c r="E1592" s="14" t="s">
        <v>113</v>
      </c>
      <c r="F1592" s="15" t="str">
        <f>IFERROR(__xludf.DUMMYFUNCTION("GOOGLETRANSLATE(B1592,""en"",""ar"")"),"الشرقية")</f>
        <v>الشرقية</v>
      </c>
    </row>
    <row r="1593" ht="14.25" customHeight="1">
      <c r="A1593" s="5"/>
      <c r="B1593" s="2" t="s">
        <v>1733</v>
      </c>
      <c r="C1593" s="2">
        <v>5.0</v>
      </c>
      <c r="E1593" s="14" t="s">
        <v>80</v>
      </c>
      <c r="F1593" s="15" t="str">
        <f>IFERROR(__xludf.DUMMYFUNCTION("GOOGLETRANSLATE(B1593,""en"",""ar"")"),"محرر")</f>
        <v>محرر</v>
      </c>
    </row>
    <row r="1594" ht="14.25" customHeight="1">
      <c r="A1594" s="5"/>
      <c r="B1594" s="2" t="s">
        <v>1734</v>
      </c>
      <c r="C1594" s="2">
        <v>5.0</v>
      </c>
      <c r="E1594" s="14" t="s">
        <v>80</v>
      </c>
      <c r="F1594" s="15" t="str">
        <f>IFERROR(__xludf.DUMMYFUNCTION("GOOGLETRANSLATE(B1594,""en"",""ar"")"),"نجاعة")</f>
        <v>نجاعة</v>
      </c>
    </row>
    <row r="1595" ht="14.25" customHeight="1">
      <c r="A1595" s="5"/>
      <c r="B1595" s="2" t="s">
        <v>1735</v>
      </c>
      <c r="C1595" s="2">
        <v>5.0</v>
      </c>
      <c r="E1595" s="14" t="s">
        <v>149</v>
      </c>
      <c r="F1595" s="15" t="str">
        <f>IFERROR(__xludf.DUMMYFUNCTION("GOOGLETRANSLATE(B1595,""en"",""ar"")"),"حالة طوارئ")</f>
        <v>حالة طوارئ</v>
      </c>
    </row>
    <row r="1596" ht="14.25" customHeight="1">
      <c r="A1596" s="5"/>
      <c r="B1596" s="2" t="s">
        <v>1736</v>
      </c>
      <c r="C1596" s="2">
        <v>5.0</v>
      </c>
      <c r="E1596" s="14" t="s">
        <v>325</v>
      </c>
      <c r="F1596" s="15" t="str">
        <f>IFERROR(__xludf.DUMMYFUNCTION("GOOGLETRANSLATE(B1596,""en"",""ar"")"),"هرب")</f>
        <v>هرب</v>
      </c>
    </row>
    <row r="1597" ht="14.25" customHeight="1">
      <c r="A1597" s="5"/>
      <c r="B1597" s="2" t="s">
        <v>1737</v>
      </c>
      <c r="C1597" s="2">
        <v>5.0</v>
      </c>
      <c r="E1597" s="14" t="s">
        <v>149</v>
      </c>
      <c r="F1597" s="15" t="str">
        <f>IFERROR(__xludf.DUMMYFUNCTION("GOOGLETRANSLATE(B1597,""en"",""ar"")"),"اخر النهار")</f>
        <v>اخر النهار</v>
      </c>
    </row>
    <row r="1598" ht="14.25" customHeight="1">
      <c r="A1598" s="5"/>
      <c r="B1598" s="2" t="s">
        <v>1738</v>
      </c>
      <c r="C1598" s="2">
        <v>5.0</v>
      </c>
      <c r="E1598" s="14" t="s">
        <v>80</v>
      </c>
      <c r="F1598" s="15" t="str">
        <f>IFERROR(__xludf.DUMMYFUNCTION("GOOGLETRANSLATE(B1598,""en"",""ar"")"),"الإثارة")</f>
        <v>الإثارة</v>
      </c>
    </row>
    <row r="1599" ht="14.25" customHeight="1">
      <c r="A1599" s="5"/>
      <c r="B1599" s="2" t="s">
        <v>1739</v>
      </c>
      <c r="C1599" s="2">
        <v>5.0</v>
      </c>
      <c r="E1599" s="14" t="s">
        <v>1262</v>
      </c>
      <c r="F1599" s="15" t="str">
        <f>IFERROR(__xludf.DUMMYFUNCTION("GOOGLETRANSLATE(B1599,""en"",""ar"")"),"تعرض")</f>
        <v>تعرض</v>
      </c>
    </row>
    <row r="1600" ht="14.25" customHeight="1">
      <c r="A1600" s="5"/>
      <c r="B1600" s="2" t="s">
        <v>1740</v>
      </c>
      <c r="C1600" s="2">
        <v>5.0</v>
      </c>
      <c r="E1600" s="14" t="s">
        <v>149</v>
      </c>
      <c r="F1600" s="15" t="str">
        <f>IFERROR(__xludf.DUMMYFUNCTION("GOOGLETRANSLATE(B1600,""en"",""ar"")"),"امتداد")</f>
        <v>امتداد</v>
      </c>
    </row>
    <row r="1601" ht="14.25" customHeight="1">
      <c r="A1601" s="5"/>
      <c r="B1601" s="2" t="s">
        <v>1741</v>
      </c>
      <c r="C1601" s="2">
        <v>5.0</v>
      </c>
      <c r="E1601" s="14" t="s">
        <v>80</v>
      </c>
      <c r="F1601" s="15" t="str">
        <f>IFERROR(__xludf.DUMMYFUNCTION("GOOGLETRANSLATE(B1601,""en"",""ar"")"),"مدى")</f>
        <v>مدى</v>
      </c>
    </row>
    <row r="1602" ht="14.25" customHeight="1">
      <c r="A1602" s="5"/>
      <c r="B1602" s="2" t="s">
        <v>1742</v>
      </c>
      <c r="C1602" s="2">
        <v>5.0</v>
      </c>
      <c r="E1602" s="14" t="s">
        <v>1210</v>
      </c>
      <c r="F1602" s="15" t="str">
        <f>IFERROR(__xludf.DUMMYFUNCTION("GOOGLETRANSLATE(B1602,""en"",""ar"")"),"مزرعة")</f>
        <v>مزرعة</v>
      </c>
    </row>
    <row r="1603" ht="14.25" customHeight="1">
      <c r="A1603" s="5"/>
      <c r="B1603" s="5"/>
      <c r="C1603" s="2">
        <v>5.0</v>
      </c>
      <c r="E1603" s="14" t="s">
        <v>80</v>
      </c>
      <c r="F1603" s="15" t="str">
        <f>IFERROR(__xludf.DUMMYFUNCTION("GOOGLETRANSLATE(B1603,""en"",""ar"")"),"#VALUE!")</f>
        <v>#VALUE!</v>
      </c>
    </row>
    <row r="1604" ht="14.25" customHeight="1">
      <c r="A1604" s="5"/>
      <c r="B1604" s="2" t="s">
        <v>1743</v>
      </c>
      <c r="C1604" s="2">
        <v>5.0</v>
      </c>
      <c r="E1604" s="14" t="s">
        <v>120</v>
      </c>
      <c r="F1604" s="15" t="str">
        <f>IFERROR(__xludf.DUMMYFUNCTION("GOOGLETRANSLATE(B1604,""en"",""ar"")"),"يقاتل")</f>
        <v>يقاتل</v>
      </c>
    </row>
    <row r="1605" ht="14.25" customHeight="1">
      <c r="A1605" s="5"/>
      <c r="B1605" s="2" t="s">
        <v>1744</v>
      </c>
      <c r="C1605" s="2">
        <v>5.0</v>
      </c>
      <c r="E1605" s="14" t="s">
        <v>120</v>
      </c>
      <c r="F1605" s="15" t="str">
        <f>IFERROR(__xludf.DUMMYFUNCTION("GOOGLETRANSLATE(B1605,""en"",""ar"")"),"الفارق")</f>
        <v>الفارق</v>
      </c>
    </row>
    <row r="1606" ht="14.25" customHeight="1">
      <c r="A1606" s="5"/>
      <c r="B1606" s="2" t="s">
        <v>1745</v>
      </c>
      <c r="C1606" s="2">
        <v>5.0</v>
      </c>
      <c r="E1606" s="14" t="s">
        <v>1205</v>
      </c>
      <c r="F1606" s="15" t="str">
        <f>IFERROR(__xludf.DUMMYFUNCTION("GOOGLETRANSLATE(B1606,""en"",""ar"")"),"يجتمع")</f>
        <v>يجتمع</v>
      </c>
    </row>
    <row r="1607" ht="14.25" customHeight="1">
      <c r="A1607" s="5"/>
      <c r="B1607" s="2" t="s">
        <v>1746</v>
      </c>
      <c r="C1607" s="2">
        <v>5.0</v>
      </c>
      <c r="E1607" s="14" t="s">
        <v>120</v>
      </c>
      <c r="F1607" s="15" t="str">
        <f>IFERROR(__xludf.DUMMYFUNCTION("GOOGLETRANSLATE(B1607,""en"",""ar"")"),"المرتبة")</f>
        <v>المرتبة</v>
      </c>
    </row>
    <row r="1608" ht="14.25" customHeight="1">
      <c r="A1608" s="5"/>
      <c r="B1608" s="2" t="s">
        <v>1747</v>
      </c>
      <c r="C1608" s="2">
        <v>5.0</v>
      </c>
      <c r="E1608" s="14" t="s">
        <v>80</v>
      </c>
      <c r="F1608" s="15" t="str">
        <f>IFERROR(__xludf.DUMMYFUNCTION("GOOGLETRANSLATE(B1608,""en"",""ar"")"),"غيتار")</f>
        <v>غيتار</v>
      </c>
    </row>
    <row r="1609" ht="14.25" customHeight="1">
      <c r="A1609" s="5"/>
      <c r="B1609" s="2" t="s">
        <v>1748</v>
      </c>
      <c r="C1609" s="2">
        <v>5.0</v>
      </c>
      <c r="E1609" s="14" t="s">
        <v>95</v>
      </c>
      <c r="F1609" s="15" t="str">
        <f>IFERROR(__xludf.DUMMYFUNCTION("GOOGLETRANSLATE(B1609,""en"",""ar"")"),"يكره")</f>
        <v>يكره</v>
      </c>
    </row>
    <row r="1610" ht="14.25" customHeight="1">
      <c r="A1610" s="5"/>
      <c r="B1610" s="2" t="s">
        <v>1749</v>
      </c>
      <c r="C1610" s="2">
        <v>5.0</v>
      </c>
      <c r="E1610" s="14" t="s">
        <v>84</v>
      </c>
      <c r="F1610" s="15" t="str">
        <f>IFERROR(__xludf.DUMMYFUNCTION("GOOGLETRANSLATE(B1610,""en"",""ar"")"),"يوم الاجازة")</f>
        <v>يوم الاجازة</v>
      </c>
    </row>
    <row r="1611" ht="14.25" customHeight="1">
      <c r="A1611" s="5"/>
      <c r="B1611" s="2" t="s">
        <v>1750</v>
      </c>
      <c r="C1611" s="2">
        <v>5.0</v>
      </c>
      <c r="E1611" s="14" t="s">
        <v>80</v>
      </c>
      <c r="F1611" s="15" t="str">
        <f>IFERROR(__xludf.DUMMYFUNCTION("GOOGLETRANSLATE(B1611,""en"",""ar"")"),"واجب منزلي")</f>
        <v>واجب منزلي</v>
      </c>
    </row>
    <row r="1612" ht="14.25" customHeight="1">
      <c r="A1612" s="5"/>
      <c r="B1612" s="2" t="s">
        <v>1751</v>
      </c>
      <c r="C1612" s="2">
        <v>5.0</v>
      </c>
      <c r="E1612" s="14" t="s">
        <v>149</v>
      </c>
      <c r="F1612" s="15" t="str">
        <f>IFERROR(__xludf.DUMMYFUNCTION("GOOGLETRANSLATE(B1612,""en"",""ar"")"),"رعب")</f>
        <v>رعب</v>
      </c>
    </row>
    <row r="1613" ht="14.25" customHeight="1">
      <c r="A1613" s="5"/>
      <c r="B1613" s="2" t="s">
        <v>1752</v>
      </c>
      <c r="C1613" s="2">
        <v>5.0</v>
      </c>
      <c r="E1613" s="14" t="s">
        <v>1231</v>
      </c>
      <c r="F1613" s="15" t="str">
        <f>IFERROR(__xludf.DUMMYFUNCTION("GOOGLETRANSLATE(B1613,""en"",""ar"")"),"حصان")</f>
        <v>حصان</v>
      </c>
    </row>
    <row r="1614" ht="14.25" customHeight="1">
      <c r="A1614" s="5"/>
      <c r="B1614" s="2" t="s">
        <v>1753</v>
      </c>
      <c r="C1614" s="2">
        <v>5.0</v>
      </c>
      <c r="E1614" s="14" t="s">
        <v>120</v>
      </c>
      <c r="F1614" s="15" t="str">
        <f>IFERROR(__xludf.DUMMYFUNCTION("GOOGLETRANSLATE(B1614,""en"",""ar"")"),"مضيف")</f>
        <v>مضيف</v>
      </c>
    </row>
    <row r="1615" ht="14.25" customHeight="1">
      <c r="A1615" s="5"/>
      <c r="B1615" s="2" t="s">
        <v>1754</v>
      </c>
      <c r="C1615" s="2">
        <v>5.0</v>
      </c>
      <c r="E1615" s="14" t="s">
        <v>120</v>
      </c>
      <c r="F1615" s="15" t="str">
        <f>IFERROR(__xludf.DUMMYFUNCTION("GOOGLETRANSLATE(B1615,""en"",""ar"")"),"الزوج")</f>
        <v>الزوج</v>
      </c>
    </row>
    <row r="1616" ht="14.25" customHeight="1">
      <c r="A1616" s="5"/>
      <c r="B1616" s="2" t="s">
        <v>1755</v>
      </c>
      <c r="C1616" s="2">
        <v>5.0</v>
      </c>
      <c r="E1616" s="14" t="s">
        <v>80</v>
      </c>
      <c r="F1616" s="15" t="str">
        <f>IFERROR(__xludf.DUMMYFUNCTION("GOOGLETRANSLATE(B1616,""en"",""ar"")"),"قائد")</f>
        <v>قائد</v>
      </c>
    </row>
    <row r="1617" ht="14.25" customHeight="1">
      <c r="A1617" s="5"/>
      <c r="B1617" s="2" t="s">
        <v>1756</v>
      </c>
      <c r="C1617" s="2">
        <v>5.0</v>
      </c>
      <c r="E1617" s="14" t="s">
        <v>1210</v>
      </c>
      <c r="F1617" s="15" t="str">
        <f>IFERROR(__xludf.DUMMYFUNCTION("GOOGLETRANSLATE(B1617,""en"",""ar"")"),"يُقرض")</f>
        <v>يُقرض</v>
      </c>
    </row>
    <row r="1618" ht="14.25" customHeight="1">
      <c r="A1618" s="5"/>
      <c r="B1618" s="2" t="s">
        <v>1757</v>
      </c>
      <c r="C1618" s="2">
        <v>5.0</v>
      </c>
      <c r="E1618" s="14" t="s">
        <v>113</v>
      </c>
      <c r="F1618" s="15" t="str">
        <f>IFERROR(__xludf.DUMMYFUNCTION("GOOGLETRANSLATE(B1618,""en"",""ar"")"),"منطقي")</f>
        <v>منطقي</v>
      </c>
    </row>
    <row r="1619" ht="14.25" customHeight="1">
      <c r="A1619" s="5"/>
      <c r="B1619" s="2" t="s">
        <v>1758</v>
      </c>
      <c r="C1619" s="2">
        <v>5.0</v>
      </c>
      <c r="E1619" s="14" t="s">
        <v>1210</v>
      </c>
      <c r="F1619" s="15" t="str">
        <f>IFERROR(__xludf.DUMMYFUNCTION("GOOGLETRANSLATE(B1619,""en"",""ar"")"),"خطأ")</f>
        <v>خطأ</v>
      </c>
    </row>
    <row r="1620" ht="14.25" customHeight="1">
      <c r="A1620" s="5"/>
      <c r="B1620" s="2" t="s">
        <v>1759</v>
      </c>
      <c r="C1620" s="2">
        <v>5.0</v>
      </c>
      <c r="E1620" s="14" t="s">
        <v>80</v>
      </c>
      <c r="F1620" s="15" t="str">
        <f>IFERROR(__xludf.DUMMYFUNCTION("GOOGLETRANSLATE(B1620,""en"",""ar"")"),"أمي")</f>
        <v>أمي</v>
      </c>
    </row>
    <row r="1621" ht="14.25" customHeight="1">
      <c r="A1621" s="5"/>
      <c r="B1621" s="2" t="s">
        <v>1760</v>
      </c>
      <c r="C1621" s="2">
        <v>5.0</v>
      </c>
      <c r="E1621" s="14" t="s">
        <v>1298</v>
      </c>
      <c r="F1621" s="15" t="str">
        <f>IFERROR(__xludf.DUMMYFUNCTION("GOOGLETRANSLATE(B1621,""en"",""ar"")"),"جبل")</f>
        <v>جبل</v>
      </c>
    </row>
    <row r="1622" ht="14.25" customHeight="1">
      <c r="A1622" s="5"/>
      <c r="B1622" s="2" t="s">
        <v>1761</v>
      </c>
      <c r="C1622" s="2">
        <v>5.0</v>
      </c>
      <c r="E1622" s="14" t="s">
        <v>1210</v>
      </c>
      <c r="F1622" s="15" t="str">
        <f>IFERROR(__xludf.DUMMYFUNCTION("GOOGLETRANSLATE(B1622,""en"",""ar"")"),"مسمار")</f>
        <v>مسمار</v>
      </c>
    </row>
    <row r="1623" ht="14.25" customHeight="1">
      <c r="A1623" s="5"/>
      <c r="B1623" s="2" t="s">
        <v>1762</v>
      </c>
      <c r="C1623" s="2">
        <v>5.0</v>
      </c>
      <c r="E1623" s="14" t="s">
        <v>120</v>
      </c>
      <c r="F1623" s="15" t="str">
        <f>IFERROR(__xludf.DUMMYFUNCTION("GOOGLETRANSLATE(B1623,""en"",""ar"")"),"الضوضاء")</f>
        <v>الضوضاء</v>
      </c>
    </row>
    <row r="1624" ht="14.25" customHeight="1">
      <c r="A1624" s="5"/>
      <c r="B1624" s="2" t="s">
        <v>1763</v>
      </c>
      <c r="C1624" s="2">
        <v>5.0</v>
      </c>
      <c r="E1624" s="14" t="s">
        <v>1764</v>
      </c>
      <c r="F1624" s="15" t="str">
        <f>IFERROR(__xludf.DUMMYFUNCTION("GOOGLETRANSLATE(B1624,""en"",""ar"")"),"لا أحد")</f>
        <v>لا أحد</v>
      </c>
    </row>
    <row r="1625" ht="14.25" customHeight="1">
      <c r="A1625" s="5"/>
      <c r="B1625" s="2" t="s">
        <v>1765</v>
      </c>
      <c r="C1625" s="2">
        <v>5.0</v>
      </c>
      <c r="E1625" s="14" t="s">
        <v>1210</v>
      </c>
      <c r="F1625" s="15" t="str">
        <f>IFERROR(__xludf.DUMMYFUNCTION("GOOGLETRANSLATE(B1625,""en"",""ar"")"),"مناسبات")</f>
        <v>مناسبات</v>
      </c>
    </row>
    <row r="1626" ht="14.25" customHeight="1">
      <c r="A1626" s="5"/>
      <c r="B1626" s="2" t="s">
        <v>1766</v>
      </c>
      <c r="C1626" s="2">
        <v>5.0</v>
      </c>
      <c r="E1626" s="14" t="s">
        <v>80</v>
      </c>
      <c r="F1626" s="15" t="str">
        <f>IFERROR(__xludf.DUMMYFUNCTION("GOOGLETRANSLATE(B1626,""en"",""ar"")"),"حصيلة")</f>
        <v>حصيلة</v>
      </c>
    </row>
    <row r="1627" ht="14.25" customHeight="1">
      <c r="A1627" s="5"/>
      <c r="B1627" s="2" t="s">
        <v>1767</v>
      </c>
      <c r="C1627" s="2">
        <v>5.0</v>
      </c>
      <c r="E1627" s="14" t="s">
        <v>13</v>
      </c>
      <c r="F1627" s="15" t="str">
        <f>IFERROR(__xludf.DUMMYFUNCTION("GOOGLETRANSLATE(B1627,""en"",""ar"")"),"التغلب على")</f>
        <v>التغلب على</v>
      </c>
    </row>
    <row r="1628" ht="14.25" customHeight="1">
      <c r="A1628" s="5"/>
      <c r="B1628" s="2" t="s">
        <v>1768</v>
      </c>
      <c r="C1628" s="2">
        <v>5.0</v>
      </c>
      <c r="E1628" s="14" t="s">
        <v>13</v>
      </c>
      <c r="F1628" s="15" t="str">
        <f>IFERROR(__xludf.DUMMYFUNCTION("GOOGLETRANSLATE(B1628,""en"",""ar"")"),"يدين")</f>
        <v>يدين</v>
      </c>
    </row>
    <row r="1629" ht="14.25" customHeight="1">
      <c r="A1629" s="5"/>
      <c r="B1629" s="2" t="s">
        <v>1769</v>
      </c>
      <c r="C1629" s="2">
        <v>5.0</v>
      </c>
      <c r="E1629" s="14" t="s">
        <v>120</v>
      </c>
      <c r="F1629" s="15" t="str">
        <f>IFERROR(__xludf.DUMMYFUNCTION("GOOGLETRANSLATE(B1629,""en"",""ar"")"),"حزمة")</f>
        <v>حزمة</v>
      </c>
    </row>
    <row r="1630" ht="14.25" customHeight="1">
      <c r="A1630" s="5"/>
      <c r="B1630" s="2" t="s">
        <v>1770</v>
      </c>
      <c r="C1630" s="2">
        <v>5.0</v>
      </c>
      <c r="E1630" s="14" t="s">
        <v>149</v>
      </c>
      <c r="F1630" s="15" t="str">
        <f>IFERROR(__xludf.DUMMYFUNCTION("GOOGLETRANSLATE(B1630,""en"",""ar"")"),"صبور")</f>
        <v>صبور</v>
      </c>
    </row>
    <row r="1631" ht="14.25" customHeight="1">
      <c r="A1631" s="5"/>
      <c r="B1631" s="2" t="s">
        <v>1771</v>
      </c>
      <c r="C1631" s="2">
        <v>5.0</v>
      </c>
      <c r="E1631" s="14" t="s">
        <v>1210</v>
      </c>
      <c r="F1631" s="15" t="str">
        <f>IFERROR(__xludf.DUMMYFUNCTION("GOOGLETRANSLATE(B1631,""en"",""ar"")"),"وقفة")</f>
        <v>وقفة</v>
      </c>
    </row>
    <row r="1632" ht="14.25" customHeight="1">
      <c r="A1632" s="5"/>
      <c r="B1632" s="2" t="s">
        <v>1772</v>
      </c>
      <c r="C1632" s="2">
        <v>5.0</v>
      </c>
      <c r="E1632" s="14" t="s">
        <v>80</v>
      </c>
      <c r="F1632" s="15" t="str">
        <f>IFERROR(__xludf.DUMMYFUNCTION("GOOGLETRANSLATE(B1632,""en"",""ar"")"),"الإذن")</f>
        <v>الإذن</v>
      </c>
    </row>
    <row r="1633" ht="14.25" customHeight="1">
      <c r="A1633" s="5"/>
      <c r="B1633" s="2" t="s">
        <v>1773</v>
      </c>
      <c r="C1633" s="2">
        <v>5.0</v>
      </c>
      <c r="E1633" s="14" t="s">
        <v>120</v>
      </c>
      <c r="F1633" s="15" t="str">
        <f>IFERROR(__xludf.DUMMYFUNCTION("GOOGLETRANSLATE(B1633,""en"",""ar"")"),"العبارة")</f>
        <v>العبارة</v>
      </c>
    </row>
    <row r="1634" ht="14.25" customHeight="1">
      <c r="A1634" s="5"/>
      <c r="B1634" s="2" t="s">
        <v>1774</v>
      </c>
      <c r="C1634" s="2">
        <v>5.0</v>
      </c>
      <c r="E1634" s="14" t="s">
        <v>80</v>
      </c>
      <c r="F1634" s="15" t="str">
        <f>IFERROR(__xludf.DUMMYFUNCTION("GOOGLETRANSLATE(B1634,""en"",""ar"")"),"عرض تقديمي")</f>
        <v>عرض تقديمي</v>
      </c>
    </row>
    <row r="1635" ht="14.25" customHeight="1">
      <c r="A1635" s="5"/>
      <c r="B1635" s="2" t="s">
        <v>1775</v>
      </c>
      <c r="C1635" s="2">
        <v>5.0</v>
      </c>
      <c r="E1635" s="14" t="s">
        <v>1390</v>
      </c>
      <c r="F1635" s="15" t="str">
        <f>IFERROR(__xludf.DUMMYFUNCTION("GOOGLETRANSLATE(B1635,""en"",""ar"")"),"قبل")</f>
        <v>قبل</v>
      </c>
    </row>
    <row r="1636" ht="14.25" customHeight="1">
      <c r="A1636" s="5"/>
      <c r="B1636" s="2" t="s">
        <v>1776</v>
      </c>
      <c r="C1636" s="2">
        <v>5.0</v>
      </c>
      <c r="E1636" s="14" t="s">
        <v>80</v>
      </c>
      <c r="F1636" s="15" t="str">
        <f>IFERROR(__xludf.DUMMYFUNCTION("GOOGLETRANSLATE(B1636,""en"",""ar"")"),"ترقية وظيفية")</f>
        <v>ترقية وظيفية</v>
      </c>
    </row>
    <row r="1637" ht="14.25" customHeight="1">
      <c r="A1637" s="5"/>
      <c r="B1637" s="2" t="s">
        <v>1777</v>
      </c>
      <c r="C1637" s="2">
        <v>5.0</v>
      </c>
      <c r="E1637" s="14" t="s">
        <v>84</v>
      </c>
      <c r="F1637" s="15" t="str">
        <f>IFERROR(__xludf.DUMMYFUNCTION("GOOGLETRANSLATE(B1637,""en"",""ar"")"),"دليل - إثبات")</f>
        <v>دليل - إثبات</v>
      </c>
    </row>
    <row r="1638" ht="14.25" customHeight="1">
      <c r="A1638" s="5"/>
      <c r="B1638" s="2" t="s">
        <v>1778</v>
      </c>
      <c r="C1638" s="2">
        <v>5.0</v>
      </c>
      <c r="E1638" s="14" t="s">
        <v>120</v>
      </c>
      <c r="F1638" s="15" t="str">
        <f>IFERROR(__xludf.DUMMYFUNCTION("GOOGLETRANSLATE(B1638,""en"",""ar"")"),"سباق")</f>
        <v>سباق</v>
      </c>
    </row>
    <row r="1639" ht="14.25" customHeight="1">
      <c r="A1639" s="5"/>
      <c r="B1639" s="2" t="s">
        <v>1779</v>
      </c>
      <c r="C1639" s="2">
        <v>5.0</v>
      </c>
      <c r="E1639" s="14" t="s">
        <v>113</v>
      </c>
      <c r="F1639" s="15" t="str">
        <f>IFERROR(__xludf.DUMMYFUNCTION("GOOGLETRANSLATE(B1639,""en"",""ar"")"),"مسؤول")</f>
        <v>مسؤول</v>
      </c>
    </row>
    <row r="1640" ht="14.25" customHeight="1">
      <c r="A1640" s="5"/>
      <c r="B1640" s="2" t="s">
        <v>1780</v>
      </c>
      <c r="C1640" s="2">
        <v>5.0</v>
      </c>
      <c r="E1640" s="14" t="s">
        <v>80</v>
      </c>
      <c r="F1640" s="15" t="str">
        <f>IFERROR(__xludf.DUMMYFUNCTION("GOOGLETRANSLATE(B1640,""en"",""ar"")"),"انعكاس")</f>
        <v>انعكاس</v>
      </c>
    </row>
    <row r="1641" ht="14.25" customHeight="1">
      <c r="A1641" s="5"/>
      <c r="B1641" s="2" t="s">
        <v>1781</v>
      </c>
      <c r="C1641" s="2">
        <v>5.0</v>
      </c>
      <c r="E1641" s="14" t="s">
        <v>80</v>
      </c>
      <c r="F1641" s="15" t="str">
        <f>IFERROR(__xludf.DUMMYFUNCTION("GOOGLETRANSLATE(B1641,""en"",""ar"")"),"ثلاجة")</f>
        <v>ثلاجة</v>
      </c>
    </row>
    <row r="1642" ht="14.25" customHeight="1">
      <c r="A1642" s="5"/>
      <c r="B1642" s="2" t="s">
        <v>1782</v>
      </c>
      <c r="C1642" s="2">
        <v>5.0</v>
      </c>
      <c r="E1642" s="14" t="s">
        <v>1305</v>
      </c>
      <c r="F1642" s="15" t="str">
        <f>IFERROR(__xludf.DUMMYFUNCTION("GOOGLETRANSLATE(B1642,""en"",""ar"")"),"اِرتِياح")</f>
        <v>اِرتِياح</v>
      </c>
    </row>
    <row r="1643" ht="14.25" customHeight="1">
      <c r="A1643" s="5"/>
      <c r="B1643" s="2" t="s">
        <v>1783</v>
      </c>
      <c r="C1643" s="2">
        <v>5.0</v>
      </c>
      <c r="E1643" s="14" t="s">
        <v>95</v>
      </c>
      <c r="F1643" s="15" t="str">
        <f>IFERROR(__xludf.DUMMYFUNCTION("GOOGLETRANSLATE(B1643,""en"",""ar"")"),"يصلح")</f>
        <v>يصلح</v>
      </c>
    </row>
    <row r="1644" ht="14.25" customHeight="1">
      <c r="A1644" s="5"/>
      <c r="B1644" s="2" t="s">
        <v>1784</v>
      </c>
      <c r="C1644" s="2">
        <v>5.0</v>
      </c>
      <c r="E1644" s="14" t="s">
        <v>80</v>
      </c>
      <c r="F1644" s="15" t="str">
        <f>IFERROR(__xludf.DUMMYFUNCTION("GOOGLETRANSLATE(B1644,""en"",""ar"")"),"الدقة")</f>
        <v>الدقة</v>
      </c>
    </row>
    <row r="1645" ht="14.25" customHeight="1">
      <c r="A1645" s="5"/>
      <c r="B1645" s="2" t="s">
        <v>1785</v>
      </c>
      <c r="C1645" s="2">
        <v>5.0</v>
      </c>
      <c r="E1645" s="14" t="s">
        <v>80</v>
      </c>
      <c r="F1645" s="15" t="str">
        <f>IFERROR(__xludf.DUMMYFUNCTION("GOOGLETRANSLATE(B1645,""en"",""ar"")"),"ربح")</f>
        <v>ربح</v>
      </c>
    </row>
    <row r="1646" ht="14.25" customHeight="1">
      <c r="A1646" s="5"/>
      <c r="B1646" s="2" t="s">
        <v>1786</v>
      </c>
      <c r="C1646" s="2">
        <v>5.0</v>
      </c>
      <c r="E1646" s="14" t="s">
        <v>208</v>
      </c>
      <c r="F1646" s="15" t="str">
        <f>IFERROR(__xludf.DUMMYFUNCTION("GOOGLETRANSLATE(B1646,""en"",""ar"")"),"قاس")</f>
        <v>قاس</v>
      </c>
    </row>
    <row r="1647" ht="14.25" customHeight="1">
      <c r="A1647" s="5"/>
      <c r="B1647" s="2" t="s">
        <v>1787</v>
      </c>
      <c r="C1647" s="2">
        <v>5.0</v>
      </c>
      <c r="E1647" s="14" t="s">
        <v>236</v>
      </c>
      <c r="F1647" s="15" t="str">
        <f>IFERROR(__xludf.DUMMYFUNCTION("GOOGLETRANSLATE(B1647,""en"",""ar"")"),"حزين")</f>
        <v>حزين</v>
      </c>
    </row>
    <row r="1648" ht="14.25" customHeight="1">
      <c r="A1648" s="5"/>
      <c r="B1648" s="2" t="s">
        <v>1788</v>
      </c>
      <c r="C1648" s="2">
        <v>5.0</v>
      </c>
      <c r="E1648" s="14" t="s">
        <v>1210</v>
      </c>
      <c r="F1648" s="15" t="str">
        <f>IFERROR(__xludf.DUMMYFUNCTION("GOOGLETRANSLATE(B1648,""en"",""ar"")"),"رمل")</f>
        <v>رمل</v>
      </c>
    </row>
    <row r="1649" ht="14.25" customHeight="1">
      <c r="A1649" s="5"/>
      <c r="B1649" s="2" t="s">
        <v>1789</v>
      </c>
      <c r="C1649" s="2">
        <v>5.0</v>
      </c>
      <c r="E1649" s="14" t="s">
        <v>1348</v>
      </c>
      <c r="F1649" s="15" t="str">
        <f>IFERROR(__xludf.DUMMYFUNCTION("GOOGLETRANSLATE(B1649,""en"",""ar"")"),"خدش")</f>
        <v>خدش</v>
      </c>
    </row>
    <row r="1650" ht="14.25" customHeight="1">
      <c r="A1650" s="5"/>
      <c r="B1650" s="2" t="s">
        <v>1790</v>
      </c>
      <c r="C1650" s="2">
        <v>5.0</v>
      </c>
      <c r="E1650" s="14" t="s">
        <v>120</v>
      </c>
      <c r="F1650" s="15" t="str">
        <f>IFERROR(__xludf.DUMMYFUNCTION("GOOGLETRANSLATE(B1650,""en"",""ar"")"),"جملة او حكم على")</f>
        <v>جملة او حكم على</v>
      </c>
    </row>
    <row r="1651" ht="14.25" customHeight="1">
      <c r="A1651" s="5"/>
      <c r="B1651" s="2" t="s">
        <v>1791</v>
      </c>
      <c r="C1651" s="2">
        <v>5.0</v>
      </c>
      <c r="E1651" s="14" t="s">
        <v>80</v>
      </c>
      <c r="F1651" s="15" t="str">
        <f>IFERROR(__xludf.DUMMYFUNCTION("GOOGLETRANSLATE(B1651,""en"",""ar"")"),"جلسة")</f>
        <v>جلسة</v>
      </c>
    </row>
    <row r="1652" ht="14.25" customHeight="1">
      <c r="A1652" s="5"/>
      <c r="B1652" s="2" t="s">
        <v>1792</v>
      </c>
      <c r="C1652" s="2">
        <v>5.0</v>
      </c>
      <c r="E1652" s="14" t="s">
        <v>1210</v>
      </c>
      <c r="F1652" s="15" t="str">
        <f>IFERROR(__xludf.DUMMYFUNCTION("GOOGLETRANSLATE(B1652,""en"",""ar"")"),"كتف")</f>
        <v>كتف</v>
      </c>
    </row>
    <row r="1653" ht="14.25" customHeight="1">
      <c r="A1653" s="5"/>
      <c r="B1653" s="2" t="s">
        <v>1793</v>
      </c>
      <c r="C1653" s="2">
        <v>5.0</v>
      </c>
      <c r="E1653" s="14" t="s">
        <v>1390</v>
      </c>
      <c r="F1653" s="15" t="str">
        <f>IFERROR(__xludf.DUMMYFUNCTION("GOOGLETRANSLATE(B1653,""en"",""ar"")"),"مرض")</f>
        <v>مرض</v>
      </c>
    </row>
    <row r="1654" ht="14.25" customHeight="1">
      <c r="A1654" s="5"/>
      <c r="B1654" s="2" t="s">
        <v>1794</v>
      </c>
      <c r="C1654" s="2">
        <v>5.0</v>
      </c>
      <c r="E1654" s="14" t="s">
        <v>80</v>
      </c>
      <c r="F1654" s="15" t="str">
        <f>IFERROR(__xludf.DUMMYFUNCTION("GOOGLETRANSLATE(B1654,""en"",""ar"")"),"مغني")</f>
        <v>مغني</v>
      </c>
    </row>
    <row r="1655" ht="14.25" customHeight="1">
      <c r="A1655" s="5"/>
      <c r="B1655" s="2" t="s">
        <v>1795</v>
      </c>
      <c r="C1655" s="2">
        <v>5.0</v>
      </c>
      <c r="E1655" s="14" t="s">
        <v>1210</v>
      </c>
      <c r="F1655" s="15" t="str">
        <f>IFERROR(__xludf.DUMMYFUNCTION("GOOGLETRANSLATE(B1655,""en"",""ar"")"),"دخان")</f>
        <v>دخان</v>
      </c>
    </row>
    <row r="1656" ht="14.25" customHeight="1">
      <c r="A1656" s="5"/>
      <c r="B1656" s="2" t="s">
        <v>1796</v>
      </c>
      <c r="C1656" s="2">
        <v>5.0</v>
      </c>
      <c r="E1656" s="14" t="s">
        <v>120</v>
      </c>
      <c r="F1656" s="15" t="str">
        <f>IFERROR(__xludf.DUMMYFUNCTION("GOOGLETRANSLATE(B1656,""en"",""ar"")"),"معدة")</f>
        <v>معدة</v>
      </c>
    </row>
    <row r="1657" ht="14.25" customHeight="1">
      <c r="A1657" s="5"/>
      <c r="B1657" s="2" t="s">
        <v>1797</v>
      </c>
      <c r="C1657" s="2">
        <v>5.0</v>
      </c>
      <c r="E1657" s="14" t="s">
        <v>51</v>
      </c>
      <c r="F1657" s="15" t="str">
        <f>IFERROR(__xludf.DUMMYFUNCTION("GOOGLETRANSLATE(B1657,""en"",""ar"")"),"غريب")</f>
        <v>غريب</v>
      </c>
    </row>
    <row r="1658" ht="14.25" customHeight="1">
      <c r="A1658" s="5"/>
      <c r="B1658" s="2" t="s">
        <v>1798</v>
      </c>
      <c r="C1658" s="2">
        <v>5.0</v>
      </c>
      <c r="E1658" s="14" t="s">
        <v>113</v>
      </c>
      <c r="F1658" s="15" t="str">
        <f>IFERROR(__xludf.DUMMYFUNCTION("GOOGLETRANSLATE(B1658,""en"",""ar"")"),"حازم")</f>
        <v>حازم</v>
      </c>
    </row>
    <row r="1659" ht="14.25" customHeight="1">
      <c r="A1659" s="5"/>
      <c r="B1659" s="2" t="s">
        <v>1799</v>
      </c>
      <c r="C1659" s="2">
        <v>5.0</v>
      </c>
      <c r="E1659" s="14" t="s">
        <v>1348</v>
      </c>
      <c r="F1659" s="15" t="str">
        <f>IFERROR(__xludf.DUMMYFUNCTION("GOOGLETRANSLATE(B1659,""en"",""ar"")"),"يضرب")</f>
        <v>يضرب</v>
      </c>
    </row>
    <row r="1660" ht="14.25" customHeight="1">
      <c r="A1660" s="5"/>
      <c r="B1660" s="2" t="s">
        <v>1800</v>
      </c>
      <c r="C1660" s="2">
        <v>5.0</v>
      </c>
      <c r="E1660" s="14" t="s">
        <v>1210</v>
      </c>
      <c r="F1660" s="15" t="str">
        <f>IFERROR(__xludf.DUMMYFUNCTION("GOOGLETRANSLATE(B1660,""en"",""ar"")"),"سلسلة")</f>
        <v>سلسلة</v>
      </c>
    </row>
    <row r="1661" ht="14.25" customHeight="1">
      <c r="A1661" s="5"/>
      <c r="B1661" s="2" t="s">
        <v>1801</v>
      </c>
      <c r="C1661" s="2">
        <v>5.0</v>
      </c>
      <c r="E1661" s="14" t="s">
        <v>13</v>
      </c>
      <c r="F1661" s="15" t="str">
        <f>IFERROR(__xludf.DUMMYFUNCTION("GOOGLETRANSLATE(B1661,""en"",""ar"")"),"ينجح")</f>
        <v>ينجح</v>
      </c>
    </row>
    <row r="1662" ht="14.25" customHeight="1">
      <c r="A1662" s="5"/>
      <c r="B1662" s="2" t="s">
        <v>1802</v>
      </c>
      <c r="C1662" s="2">
        <v>5.0</v>
      </c>
      <c r="E1662" s="14" t="s">
        <v>43</v>
      </c>
      <c r="F1662" s="15" t="str">
        <f>IFERROR(__xludf.DUMMYFUNCTION("GOOGLETRANSLATE(B1662,""en"",""ar"")"),"بنجاح")</f>
        <v>بنجاح</v>
      </c>
    </row>
    <row r="1663" ht="14.25" customHeight="1">
      <c r="A1663" s="5"/>
      <c r="B1663" s="2" t="s">
        <v>1803</v>
      </c>
      <c r="C1663" s="2">
        <v>5.0</v>
      </c>
      <c r="E1663" s="14" t="s">
        <v>43</v>
      </c>
      <c r="F1663" s="15" t="str">
        <f>IFERROR(__xludf.DUMMYFUNCTION("GOOGLETRANSLATE(B1663,""en"",""ar"")"),"فجأة")</f>
        <v>فجأة</v>
      </c>
    </row>
    <row r="1664" ht="14.25" customHeight="1">
      <c r="A1664" s="5"/>
      <c r="B1664" s="2" t="s">
        <v>1804</v>
      </c>
      <c r="C1664" s="2">
        <v>5.0</v>
      </c>
      <c r="E1664" s="14" t="s">
        <v>13</v>
      </c>
      <c r="F1664" s="15" t="str">
        <f>IFERROR(__xludf.DUMMYFUNCTION("GOOGLETRANSLATE(B1664,""en"",""ar"")"),"يعاني")</f>
        <v>يعاني</v>
      </c>
    </row>
    <row r="1665" ht="14.25" customHeight="1">
      <c r="A1665" s="5"/>
      <c r="B1665" s="2" t="s">
        <v>1805</v>
      </c>
      <c r="C1665" s="2">
        <v>5.0</v>
      </c>
      <c r="E1665" s="14" t="s">
        <v>88</v>
      </c>
      <c r="F1665" s="15" t="str">
        <f>IFERROR(__xludf.DUMMYFUNCTION("GOOGLETRANSLATE(B1665,""en"",""ar"")"),"فوجئ")</f>
        <v>فوجئ</v>
      </c>
    </row>
    <row r="1666" ht="14.25" customHeight="1">
      <c r="A1666" s="5"/>
      <c r="B1666" s="2" t="s">
        <v>1806</v>
      </c>
      <c r="C1666" s="2">
        <v>5.0</v>
      </c>
      <c r="E1666" s="14" t="s">
        <v>80</v>
      </c>
      <c r="F1666" s="15" t="str">
        <f>IFERROR(__xludf.DUMMYFUNCTION("GOOGLETRANSLATE(B1666,""en"",""ar"")"),"تنس")</f>
        <v>تنس</v>
      </c>
    </row>
    <row r="1667" ht="14.25" customHeight="1">
      <c r="A1667" s="5"/>
      <c r="B1667" s="2" t="s">
        <v>1807</v>
      </c>
      <c r="C1667" s="2">
        <v>5.0</v>
      </c>
      <c r="E1667" s="14" t="s">
        <v>13</v>
      </c>
      <c r="F1667" s="15" t="str">
        <f>IFERROR(__xludf.DUMMYFUNCTION("GOOGLETRANSLATE(B1667,""en"",""ar"")"),"يرمي")</f>
        <v>يرمي</v>
      </c>
    </row>
    <row r="1668" ht="14.25" customHeight="1">
      <c r="A1668" s="5"/>
      <c r="B1668" s="2" t="s">
        <v>1808</v>
      </c>
      <c r="C1668" s="2">
        <v>5.0</v>
      </c>
      <c r="E1668" s="14" t="s">
        <v>786</v>
      </c>
      <c r="F1668" s="15" t="str">
        <f>IFERROR(__xludf.DUMMYFUNCTION("GOOGLETRANSLATE(B1668,""en"",""ar"")"),"السياحة")</f>
        <v>السياحة</v>
      </c>
    </row>
    <row r="1669" ht="14.25" customHeight="1">
      <c r="A1669" s="5"/>
      <c r="B1669" s="2" t="s">
        <v>1809</v>
      </c>
      <c r="C1669" s="2">
        <v>5.0</v>
      </c>
      <c r="E1669" s="14" t="s">
        <v>120</v>
      </c>
      <c r="F1669" s="15" t="str">
        <f>IFERROR(__xludf.DUMMYFUNCTION("GOOGLETRANSLATE(B1669,""en"",""ar"")"),"منشفة")</f>
        <v>منشفة</v>
      </c>
    </row>
    <row r="1670" ht="14.25" customHeight="1">
      <c r="A1670" s="5"/>
      <c r="B1670" s="2" t="s">
        <v>1810</v>
      </c>
      <c r="C1670" s="2">
        <v>5.0</v>
      </c>
      <c r="E1670" s="14" t="s">
        <v>43</v>
      </c>
      <c r="F1670" s="15" t="str">
        <f>IFERROR(__xludf.DUMMYFUNCTION("GOOGLETRANSLATE(B1670,""en"",""ar"")"),"حقا")</f>
        <v>حقا</v>
      </c>
    </row>
    <row r="1671" ht="14.25" customHeight="1">
      <c r="A1671" s="5"/>
      <c r="B1671" s="2" t="s">
        <v>1811</v>
      </c>
      <c r="C1671" s="2">
        <v>5.0</v>
      </c>
      <c r="E1671" s="14" t="s">
        <v>120</v>
      </c>
      <c r="F1671" s="15" t="str">
        <f>IFERROR(__xludf.DUMMYFUNCTION("GOOGLETRANSLATE(B1671,""en"",""ar"")"),"عطلة")</f>
        <v>عطلة</v>
      </c>
    </row>
    <row r="1672" ht="14.25" customHeight="1">
      <c r="A1672" s="5"/>
      <c r="B1672" s="2" t="s">
        <v>1812</v>
      </c>
      <c r="C1672" s="2">
        <v>5.0</v>
      </c>
      <c r="E1672" s="14" t="s">
        <v>43</v>
      </c>
      <c r="F1672" s="15" t="str">
        <f>IFERROR(__xludf.DUMMYFUNCTION("GOOGLETRANSLATE(B1672,""en"",""ar"")"),"عمليا")</f>
        <v>عمليا</v>
      </c>
    </row>
    <row r="1673" ht="14.25" customHeight="1">
      <c r="A1673" s="5"/>
      <c r="B1673" s="2" t="s">
        <v>1813</v>
      </c>
      <c r="C1673" s="2">
        <v>5.0</v>
      </c>
      <c r="E1673" s="14" t="s">
        <v>1814</v>
      </c>
      <c r="F1673" s="15" t="str">
        <f>IFERROR(__xludf.DUMMYFUNCTION("GOOGLETRANSLATE(B1673,""en"",""ar"")"),"الغرب")</f>
        <v>الغرب</v>
      </c>
    </row>
    <row r="1674" ht="14.25" customHeight="1">
      <c r="A1674" s="5"/>
      <c r="B1674" s="2" t="s">
        <v>1815</v>
      </c>
      <c r="C1674" s="2">
        <v>5.0</v>
      </c>
      <c r="E1674" s="14" t="s">
        <v>1210</v>
      </c>
      <c r="F1674" s="15" t="str">
        <f>IFERROR(__xludf.DUMMYFUNCTION("GOOGLETRANSLATE(B1674,""en"",""ar"")"),"عجلة")</f>
        <v>عجلة</v>
      </c>
    </row>
    <row r="1675" ht="14.25" customHeight="1">
      <c r="A1675" s="5"/>
      <c r="B1675" s="2" t="s">
        <v>1816</v>
      </c>
      <c r="C1675" s="2">
        <v>5.0</v>
      </c>
      <c r="E1675" s="14" t="s">
        <v>1284</v>
      </c>
      <c r="F1675" s="15" t="str">
        <f>IFERROR(__xludf.DUMMYFUNCTION("GOOGLETRANSLATE(B1675,""en"",""ar"")"),"نبيذ")</f>
        <v>نبيذ</v>
      </c>
    </row>
    <row r="1676" ht="14.25" customHeight="1">
      <c r="A1676" s="5"/>
      <c r="B1676" s="2" t="s">
        <v>1817</v>
      </c>
      <c r="C1676" s="2">
        <v>4.0</v>
      </c>
      <c r="E1676" s="14" t="s">
        <v>13</v>
      </c>
      <c r="F1676" s="15" t="str">
        <f>IFERROR(__xludf.DUMMYFUNCTION("GOOGLETRANSLATE(B1676,""en"",""ar"")"),"يستحوذ على")</f>
        <v>يستحوذ على</v>
      </c>
    </row>
    <row r="1677" ht="14.25" customHeight="1">
      <c r="A1677" s="5"/>
      <c r="B1677" s="2" t="s">
        <v>1818</v>
      </c>
      <c r="C1677" s="2">
        <v>4.0</v>
      </c>
      <c r="E1677" s="14" t="s">
        <v>13</v>
      </c>
      <c r="F1677" s="15" t="str">
        <f>IFERROR(__xludf.DUMMYFUNCTION("GOOGLETRANSLATE(B1677,""en"",""ar"")"),"يتكيف")</f>
        <v>يتكيف</v>
      </c>
    </row>
    <row r="1678" ht="14.25" customHeight="1">
      <c r="A1678" s="5"/>
      <c r="B1678" s="2" t="s">
        <v>1819</v>
      </c>
      <c r="C1678" s="2">
        <v>4.0</v>
      </c>
      <c r="E1678" s="14" t="s">
        <v>13</v>
      </c>
      <c r="F1678" s="15" t="str">
        <f>IFERROR(__xludf.DUMMYFUNCTION("GOOGLETRANSLATE(B1678,""en"",""ar"")"),"يُعدِّل")</f>
        <v>يُعدِّل</v>
      </c>
    </row>
    <row r="1679" ht="14.25" customHeight="1">
      <c r="A1679" s="5"/>
      <c r="B1679" s="2" t="s">
        <v>1820</v>
      </c>
      <c r="C1679" s="2">
        <v>4.0</v>
      </c>
      <c r="E1679" s="14" t="s">
        <v>113</v>
      </c>
      <c r="F1679" s="15" t="str">
        <f>IFERROR(__xludf.DUMMYFUNCTION("GOOGLETRANSLATE(B1679,""en"",""ar"")"),"إداري")</f>
        <v>إداري</v>
      </c>
    </row>
    <row r="1680" ht="14.25" customHeight="1">
      <c r="A1680" s="5"/>
      <c r="B1680" s="2" t="s">
        <v>1821</v>
      </c>
      <c r="C1680" s="2">
        <v>4.0</v>
      </c>
      <c r="E1680" s="14" t="s">
        <v>43</v>
      </c>
      <c r="F1680" s="15" t="str">
        <f>IFERROR(__xludf.DUMMYFUNCTION("GOOGLETRANSLATE(B1680,""en"",""ar"")"),"كليا")</f>
        <v>كليا</v>
      </c>
    </row>
    <row r="1681" ht="14.25" customHeight="1">
      <c r="A1681" s="5"/>
      <c r="B1681" s="2" t="s">
        <v>1822</v>
      </c>
      <c r="C1681" s="2">
        <v>4.0</v>
      </c>
      <c r="E1681" s="14" t="s">
        <v>43</v>
      </c>
      <c r="F1681" s="15" t="str">
        <f>IFERROR(__xludf.DUMMYFUNCTION("GOOGLETRANSLATE(B1681,""en"",""ar"")"),"على أي حال")</f>
        <v>على أي حال</v>
      </c>
    </row>
    <row r="1682" ht="14.25" customHeight="1">
      <c r="A1682" s="5"/>
      <c r="B1682" s="2" t="s">
        <v>1823</v>
      </c>
      <c r="C1682" s="2">
        <v>4.0</v>
      </c>
      <c r="E1682" s="14" t="s">
        <v>13</v>
      </c>
      <c r="F1682" s="15" t="str">
        <f>IFERROR(__xludf.DUMMYFUNCTION("GOOGLETRANSLATE(B1682,""en"",""ar"")"),"تجادل")</f>
        <v>تجادل</v>
      </c>
    </row>
    <row r="1683" ht="14.25" customHeight="1">
      <c r="A1683" s="5"/>
      <c r="B1683" s="2" t="s">
        <v>1824</v>
      </c>
      <c r="C1683" s="2">
        <v>4.0</v>
      </c>
      <c r="E1683" s="14" t="s">
        <v>13</v>
      </c>
      <c r="F1683" s="15" t="str">
        <f>IFERROR(__xludf.DUMMYFUNCTION("GOOGLETRANSLATE(B1683,""en"",""ar"")"),"تنشأ")</f>
        <v>تنشأ</v>
      </c>
    </row>
    <row r="1684" ht="14.25" customHeight="1">
      <c r="A1684" s="5"/>
      <c r="B1684" s="2" t="s">
        <v>1825</v>
      </c>
      <c r="C1684" s="2">
        <v>4.0</v>
      </c>
      <c r="E1684" s="14" t="s">
        <v>120</v>
      </c>
      <c r="F1684" s="15" t="str">
        <f>IFERROR(__xludf.DUMMYFUNCTION("GOOGLETRANSLATE(B1684,""en"",""ar"")"),"ذراع")</f>
        <v>ذراع</v>
      </c>
    </row>
    <row r="1685" ht="14.25" customHeight="1">
      <c r="A1685" s="5"/>
      <c r="B1685" s="2" t="s">
        <v>1826</v>
      </c>
      <c r="C1685" s="2">
        <v>4.0</v>
      </c>
      <c r="E1685" s="14" t="s">
        <v>786</v>
      </c>
      <c r="F1685" s="15" t="str">
        <f>IFERROR(__xludf.DUMMYFUNCTION("GOOGLETRANSLATE(B1685,""en"",""ar"")"),"جانبا")</f>
        <v>جانبا</v>
      </c>
    </row>
    <row r="1686" ht="14.25" customHeight="1">
      <c r="A1686" s="5"/>
      <c r="B1686" s="2" t="s">
        <v>1827</v>
      </c>
      <c r="C1686" s="2">
        <v>4.0</v>
      </c>
      <c r="E1686" s="14" t="s">
        <v>129</v>
      </c>
      <c r="F1686" s="15" t="str">
        <f>IFERROR(__xludf.DUMMYFUNCTION("GOOGLETRANSLATE(B1686,""en"",""ar"")"),"مساعد")</f>
        <v>مساعد</v>
      </c>
    </row>
    <row r="1687" ht="14.25" customHeight="1">
      <c r="A1687" s="5"/>
      <c r="B1687" s="2" t="s">
        <v>1828</v>
      </c>
      <c r="C1687" s="2">
        <v>4.0</v>
      </c>
      <c r="E1687" s="14" t="s">
        <v>113</v>
      </c>
      <c r="F1687" s="15" t="str">
        <f>IFERROR(__xludf.DUMMYFUNCTION("GOOGLETRANSLATE(B1687,""en"",""ar"")"),"تلقائي")</f>
        <v>تلقائي</v>
      </c>
    </row>
    <row r="1688" ht="14.25" customHeight="1">
      <c r="A1688" s="5"/>
      <c r="B1688" s="2" t="s">
        <v>1829</v>
      </c>
      <c r="C1688" s="2">
        <v>4.0</v>
      </c>
      <c r="E1688" s="14" t="s">
        <v>43</v>
      </c>
      <c r="F1688" s="15" t="str">
        <f>IFERROR(__xludf.DUMMYFUNCTION("GOOGLETRANSLATE(B1688,""en"",""ar"")"),"تلقائيا")</f>
        <v>تلقائيا</v>
      </c>
    </row>
    <row r="1689" ht="14.25" customHeight="1">
      <c r="A1689" s="5"/>
      <c r="B1689" s="2" t="s">
        <v>1830</v>
      </c>
      <c r="C1689" s="2">
        <v>4.0</v>
      </c>
      <c r="E1689" s="14" t="s">
        <v>80</v>
      </c>
      <c r="F1689" s="15" t="str">
        <f>IFERROR(__xludf.DUMMYFUNCTION("GOOGLETRANSLATE(B1689,""en"",""ar"")"),"سلة")</f>
        <v>سلة</v>
      </c>
    </row>
    <row r="1690" ht="14.25" customHeight="1">
      <c r="A1690" s="5"/>
      <c r="B1690" s="2" t="s">
        <v>1831</v>
      </c>
      <c r="C1690" s="2">
        <v>4.0</v>
      </c>
      <c r="E1690" s="14" t="s">
        <v>120</v>
      </c>
      <c r="F1690" s="15" t="str">
        <f>IFERROR(__xludf.DUMMYFUNCTION("GOOGLETRANSLATE(B1690,""en"",""ar"")"),"رهان")</f>
        <v>رهان</v>
      </c>
    </row>
    <row r="1691" ht="14.25" customHeight="1">
      <c r="A1691" s="5"/>
      <c r="B1691" s="2" t="s">
        <v>1832</v>
      </c>
      <c r="C1691" s="2">
        <v>4.0</v>
      </c>
      <c r="E1691" s="14" t="s">
        <v>120</v>
      </c>
      <c r="F1691" s="15" t="str">
        <f>IFERROR(__xludf.DUMMYFUNCTION("GOOGLETRANSLATE(B1691,""en"",""ar"")"),"ينفخ")</f>
        <v>ينفخ</v>
      </c>
    </row>
    <row r="1692" ht="14.25" customHeight="1">
      <c r="A1692" s="5"/>
      <c r="B1692" s="2" t="s">
        <v>1833</v>
      </c>
      <c r="C1692" s="2">
        <v>4.0</v>
      </c>
      <c r="E1692" s="14" t="s">
        <v>80</v>
      </c>
      <c r="F1692" s="15" t="str">
        <f>IFERROR(__xludf.DUMMYFUNCTION("GOOGLETRANSLATE(B1692,""en"",""ar"")"),"علاوة")</f>
        <v>علاوة</v>
      </c>
    </row>
    <row r="1693" ht="14.25" customHeight="1">
      <c r="A1693" s="5"/>
      <c r="B1693" s="2" t="s">
        <v>1834</v>
      </c>
      <c r="C1693" s="2">
        <v>4.0</v>
      </c>
      <c r="E1693" s="14" t="s">
        <v>120</v>
      </c>
      <c r="F1693" s="15" t="str">
        <f>IFERROR(__xludf.DUMMYFUNCTION("GOOGLETRANSLATE(B1693,""en"",""ar"")"),"الحدود")</f>
        <v>الحدود</v>
      </c>
    </row>
    <row r="1694" ht="14.25" customHeight="1">
      <c r="A1694" s="5"/>
      <c r="B1694" s="2" t="s">
        <v>1835</v>
      </c>
      <c r="C1694" s="2">
        <v>4.0</v>
      </c>
      <c r="E1694" s="14" t="s">
        <v>120</v>
      </c>
      <c r="F1694" s="15" t="str">
        <f>IFERROR(__xludf.DUMMYFUNCTION("GOOGLETRANSLATE(B1694,""en"",""ar"")"),"فرع")</f>
        <v>فرع</v>
      </c>
    </row>
    <row r="1695" ht="14.25" customHeight="1">
      <c r="A1695" s="5"/>
      <c r="B1695" s="2" t="s">
        <v>1836</v>
      </c>
      <c r="C1695" s="2">
        <v>4.0</v>
      </c>
      <c r="E1695" s="14" t="s">
        <v>120</v>
      </c>
      <c r="F1695" s="15" t="str">
        <f>IFERROR(__xludf.DUMMYFUNCTION("GOOGLETRANSLATE(B1695,""en"",""ar"")"),"صدر")</f>
        <v>صدر</v>
      </c>
    </row>
    <row r="1696" ht="14.25" customHeight="1">
      <c r="A1696" s="5"/>
      <c r="B1696" s="2" t="s">
        <v>1837</v>
      </c>
      <c r="C1696" s="2">
        <v>4.0</v>
      </c>
      <c r="E1696" s="14" t="s">
        <v>1838</v>
      </c>
      <c r="F1696" s="15" t="str">
        <f>IFERROR(__xludf.DUMMYFUNCTION("GOOGLETRANSLATE(B1696,""en"",""ar"")"),"شقيق")</f>
        <v>شقيق</v>
      </c>
    </row>
    <row r="1697" ht="14.25" customHeight="1">
      <c r="A1697" s="5"/>
      <c r="B1697" s="2" t="s">
        <v>1839</v>
      </c>
      <c r="C1697" s="2">
        <v>4.0</v>
      </c>
      <c r="E1697" s="14" t="s">
        <v>120</v>
      </c>
      <c r="F1697" s="15" t="str">
        <f>IFERROR(__xludf.DUMMYFUNCTION("GOOGLETRANSLATE(B1697,""en"",""ar"")"),"صاحب")</f>
        <v>صاحب</v>
      </c>
    </row>
    <row r="1698" ht="14.25" customHeight="1">
      <c r="A1698" s="5"/>
      <c r="B1698" s="2" t="s">
        <v>1840</v>
      </c>
      <c r="C1698" s="2">
        <v>4.0</v>
      </c>
      <c r="E1698" s="14" t="s">
        <v>120</v>
      </c>
      <c r="F1698" s="15" t="str">
        <f>IFERROR(__xludf.DUMMYFUNCTION("GOOGLETRANSLATE(B1698,""en"",""ar"")"),"حزمة")</f>
        <v>حزمة</v>
      </c>
    </row>
    <row r="1699" ht="14.25" customHeight="1">
      <c r="A1699" s="5"/>
      <c r="B1699" s="2" t="s">
        <v>1841</v>
      </c>
      <c r="C1699" s="2">
        <v>4.0</v>
      </c>
      <c r="E1699" s="14" t="s">
        <v>80</v>
      </c>
      <c r="F1699" s="15" t="str">
        <f>IFERROR(__xludf.DUMMYFUNCTION("GOOGLETRANSLATE(B1699,""en"",""ar"")"),"خزانة")</f>
        <v>خزانة</v>
      </c>
    </row>
    <row r="1700" ht="14.25" customHeight="1">
      <c r="A1700" s="5"/>
      <c r="B1700" s="2" t="s">
        <v>1842</v>
      </c>
      <c r="C1700" s="2">
        <v>4.0</v>
      </c>
      <c r="E1700" s="14" t="s">
        <v>80</v>
      </c>
      <c r="F1700" s="15" t="str">
        <f>IFERROR(__xludf.DUMMYFUNCTION("GOOGLETRANSLATE(B1700,""en"",""ar"")"),"مرحلة الطفولة")</f>
        <v>مرحلة الطفولة</v>
      </c>
    </row>
    <row r="1701" ht="14.25" customHeight="1">
      <c r="A1701" s="5"/>
      <c r="B1701" s="2" t="s">
        <v>1843</v>
      </c>
      <c r="C1701" s="2">
        <v>4.0</v>
      </c>
      <c r="E1701" s="14" t="s">
        <v>120</v>
      </c>
      <c r="F1701" s="15" t="str">
        <f>IFERROR(__xludf.DUMMYFUNCTION("GOOGLETRANSLATE(B1701,""en"",""ar"")"),"رقاقة")</f>
        <v>رقاقة</v>
      </c>
    </row>
    <row r="1702" ht="14.25" customHeight="1">
      <c r="A1702" s="5"/>
      <c r="B1702" s="2" t="s">
        <v>1844</v>
      </c>
      <c r="C1702" s="2">
        <v>4.0</v>
      </c>
      <c r="E1702" s="14" t="s">
        <v>80</v>
      </c>
      <c r="F1702" s="15" t="str">
        <f>IFERROR(__xludf.DUMMYFUNCTION("GOOGLETRANSLATE(B1702,""en"",""ar"")"),"كنيسة")</f>
        <v>كنيسة</v>
      </c>
    </row>
    <row r="1703" ht="14.25" customHeight="1">
      <c r="A1703" s="5"/>
      <c r="B1703" s="2" t="s">
        <v>1845</v>
      </c>
      <c r="C1703" s="2">
        <v>4.0</v>
      </c>
      <c r="E1703" s="14" t="s">
        <v>113</v>
      </c>
      <c r="F1703" s="15" t="str">
        <f>IFERROR(__xludf.DUMMYFUNCTION("GOOGLETRANSLATE(B1703,""en"",""ar"")"),"مدني")</f>
        <v>مدني</v>
      </c>
    </row>
    <row r="1704" ht="14.25" customHeight="1">
      <c r="A1704" s="5"/>
      <c r="B1704" s="2" t="s">
        <v>1846</v>
      </c>
      <c r="C1704" s="2">
        <v>4.0</v>
      </c>
      <c r="E1704" s="14" t="s">
        <v>80</v>
      </c>
      <c r="F1704" s="15" t="str">
        <f>IFERROR(__xludf.DUMMYFUNCTION("GOOGLETRANSLATE(B1704,""en"",""ar"")"),"ملابس")</f>
        <v>ملابس</v>
      </c>
    </row>
    <row r="1705" ht="14.25" customHeight="1">
      <c r="A1705" s="5"/>
      <c r="B1705" s="2" t="s">
        <v>1847</v>
      </c>
      <c r="C1705" s="2">
        <v>4.0</v>
      </c>
      <c r="E1705" s="14" t="s">
        <v>240</v>
      </c>
      <c r="F1705" s="15" t="str">
        <f>IFERROR(__xludf.DUMMYFUNCTION("GOOGLETRANSLATE(B1705,""en"",""ar"")"),"مدرب رياضي")</f>
        <v>مدرب رياضي</v>
      </c>
    </row>
    <row r="1706" ht="14.25" customHeight="1">
      <c r="A1706" s="5"/>
      <c r="B1706" s="2" t="s">
        <v>1848</v>
      </c>
      <c r="C1706" s="2">
        <v>4.0</v>
      </c>
      <c r="E1706" s="14" t="s">
        <v>80</v>
      </c>
      <c r="F1706" s="15" t="str">
        <f>IFERROR(__xludf.DUMMYFUNCTION("GOOGLETRANSLATE(B1706,""en"",""ar"")"),"قهوة")</f>
        <v>قهوة</v>
      </c>
    </row>
    <row r="1707" ht="14.25" customHeight="1">
      <c r="A1707" s="5"/>
      <c r="B1707" s="2" t="s">
        <v>1849</v>
      </c>
      <c r="C1707" s="2">
        <v>4.0</v>
      </c>
      <c r="E1707" s="14" t="s">
        <v>13</v>
      </c>
      <c r="F1707" s="15" t="str">
        <f>IFERROR(__xludf.DUMMYFUNCTION("GOOGLETRANSLATE(B1707,""en"",""ar"")"),"تؤكد")</f>
        <v>تؤكد</v>
      </c>
    </row>
    <row r="1708" ht="14.25" customHeight="1">
      <c r="A1708" s="5"/>
      <c r="B1708" s="2" t="s">
        <v>1850</v>
      </c>
      <c r="C1708" s="2">
        <v>4.0</v>
      </c>
      <c r="E1708" s="14" t="s">
        <v>129</v>
      </c>
      <c r="F1708" s="15" t="str">
        <f>IFERROR(__xludf.DUMMYFUNCTION("GOOGLETRANSLATE(B1708,""en"",""ar"")"),"الاعتراض")</f>
        <v>الاعتراض</v>
      </c>
    </row>
    <row r="1709" ht="14.25" customHeight="1">
      <c r="A1709" s="5"/>
      <c r="B1709" s="2" t="s">
        <v>1851</v>
      </c>
      <c r="C1709" s="2">
        <v>4.0</v>
      </c>
      <c r="E1709" s="14" t="s">
        <v>43</v>
      </c>
      <c r="F1709" s="15" t="str">
        <f>IFERROR(__xludf.DUMMYFUNCTION("GOOGLETRANSLATE(B1709,""en"",""ar"")"),"بشدة")</f>
        <v>بشدة</v>
      </c>
    </row>
    <row r="1710" ht="14.25" customHeight="1">
      <c r="A1710" s="5"/>
      <c r="B1710" s="2" t="s">
        <v>1852</v>
      </c>
      <c r="C1710" s="2">
        <v>4.0</v>
      </c>
      <c r="E1710" s="14" t="s">
        <v>43</v>
      </c>
      <c r="F1710" s="15" t="str">
        <f>IFERROR(__xludf.DUMMYFUNCTION("GOOGLETRANSLATE(B1710,""en"",""ar"")"),"بالتااكيد")</f>
        <v>بالتااكيد</v>
      </c>
    </row>
    <row r="1711" ht="14.25" customHeight="1">
      <c r="A1711" s="5"/>
      <c r="B1711" s="2" t="s">
        <v>1853</v>
      </c>
      <c r="C1711" s="2">
        <v>4.0</v>
      </c>
      <c r="E1711" s="14" t="s">
        <v>43</v>
      </c>
      <c r="F1711" s="15" t="str">
        <f>IFERROR(__xludf.DUMMYFUNCTION("GOOGLETRANSLATE(B1711,""en"",""ar"")"),"عن عمد")</f>
        <v>عن عمد</v>
      </c>
    </row>
    <row r="1712" ht="14.25" customHeight="1">
      <c r="A1712" s="5"/>
      <c r="B1712" s="2" t="s">
        <v>1854</v>
      </c>
      <c r="C1712" s="2">
        <v>4.0</v>
      </c>
      <c r="E1712" s="14" t="s">
        <v>80</v>
      </c>
      <c r="F1712" s="15" t="str">
        <f>IFERROR(__xludf.DUMMYFUNCTION("GOOGLETRANSLATE(B1712,""en"",""ar"")"),"وجبة عشاء")</f>
        <v>وجبة عشاء</v>
      </c>
    </row>
    <row r="1713" ht="14.25" customHeight="1">
      <c r="A1713" s="5"/>
      <c r="B1713" s="2" t="s">
        <v>1855</v>
      </c>
      <c r="C1713" s="2">
        <v>4.0</v>
      </c>
      <c r="E1713" s="14" t="s">
        <v>120</v>
      </c>
      <c r="F1713" s="15" t="str">
        <f>IFERROR(__xludf.DUMMYFUNCTION("GOOGLETRANSLATE(B1713,""en"",""ar"")"),"وثيقة")</f>
        <v>وثيقة</v>
      </c>
    </row>
    <row r="1714" ht="14.25" customHeight="1">
      <c r="A1714" s="5"/>
      <c r="B1714" s="2" t="s">
        <v>1856</v>
      </c>
      <c r="C1714" s="2">
        <v>4.0</v>
      </c>
      <c r="E1714" s="14" t="s">
        <v>129</v>
      </c>
      <c r="F1714" s="15" t="str">
        <f>IFERROR(__xludf.DUMMYFUNCTION("GOOGLETRANSLATE(B1714,""en"",""ar"")"),"مسودة")</f>
        <v>مسودة</v>
      </c>
    </row>
    <row r="1715" ht="14.25" customHeight="1">
      <c r="A1715" s="5"/>
      <c r="B1715" s="2" t="s">
        <v>1857</v>
      </c>
      <c r="C1715" s="2">
        <v>4.0</v>
      </c>
      <c r="E1715" s="14" t="s">
        <v>80</v>
      </c>
      <c r="F1715" s="15" t="str">
        <f>IFERROR(__xludf.DUMMYFUNCTION("GOOGLETRANSLATE(B1715,""en"",""ar"")"),"رسم")</f>
        <v>رسم</v>
      </c>
    </row>
    <row r="1716" ht="14.25" customHeight="1">
      <c r="A1716" s="5"/>
      <c r="B1716" s="2" t="s">
        <v>1858</v>
      </c>
      <c r="C1716" s="2">
        <v>4.0</v>
      </c>
      <c r="E1716" s="14" t="s">
        <v>120</v>
      </c>
      <c r="F1716" s="15" t="str">
        <f>IFERROR(__xludf.DUMMYFUNCTION("GOOGLETRANSLATE(B1716,""en"",""ar"")"),"تراب")</f>
        <v>تراب</v>
      </c>
    </row>
    <row r="1717" ht="14.25" customHeight="1">
      <c r="A1717" s="5"/>
      <c r="B1717" s="2" t="s">
        <v>1859</v>
      </c>
      <c r="C1717" s="2">
        <v>4.0</v>
      </c>
      <c r="E1717" s="14" t="s">
        <v>95</v>
      </c>
      <c r="F1717" s="15" t="str">
        <f>IFERROR(__xludf.DUMMYFUNCTION("GOOGLETRANSLATE(B1717,""en"",""ar"")"),"توظيف")</f>
        <v>توظيف</v>
      </c>
    </row>
    <row r="1718" ht="14.25" customHeight="1">
      <c r="A1718" s="5"/>
      <c r="B1718" s="2" t="s">
        <v>1860</v>
      </c>
      <c r="C1718" s="2">
        <v>4.0</v>
      </c>
      <c r="E1718" s="14" t="s">
        <v>13</v>
      </c>
      <c r="F1718" s="15" t="str">
        <f>IFERROR(__xludf.DUMMYFUNCTION("GOOGLETRANSLATE(B1718,""en"",""ar"")"),"تشجيع")</f>
        <v>تشجيع</v>
      </c>
    </row>
    <row r="1719" ht="14.25" customHeight="1">
      <c r="A1719" s="5"/>
      <c r="B1719" s="2" t="s">
        <v>1861</v>
      </c>
      <c r="C1719" s="2">
        <v>4.0</v>
      </c>
      <c r="E1719" s="14" t="s">
        <v>149</v>
      </c>
      <c r="F1719" s="15" t="str">
        <f>IFERROR(__xludf.DUMMYFUNCTION("GOOGLETRANSLATE(B1719,""en"",""ar"")"),"خبير")</f>
        <v>خبير</v>
      </c>
    </row>
    <row r="1720" ht="14.25" customHeight="1">
      <c r="A1720" s="5"/>
      <c r="B1720" s="2" t="s">
        <v>1862</v>
      </c>
      <c r="C1720" s="2">
        <v>4.0</v>
      </c>
      <c r="E1720" s="14" t="s">
        <v>236</v>
      </c>
      <c r="F1720" s="15" t="str">
        <f>IFERROR(__xludf.DUMMYFUNCTION("GOOGLETRANSLATE(B1720,""en"",""ar"")"),"خارجي")</f>
        <v>خارجي</v>
      </c>
    </row>
    <row r="1721" ht="14.25" customHeight="1">
      <c r="A1721" s="5"/>
      <c r="B1721" s="2" t="s">
        <v>1863</v>
      </c>
      <c r="C1721" s="2">
        <v>4.0</v>
      </c>
      <c r="E1721" s="14" t="s">
        <v>120</v>
      </c>
      <c r="F1721" s="15" t="str">
        <f>IFERROR(__xludf.DUMMYFUNCTION("GOOGLETRANSLATE(B1721,""en"",""ar"")"),"أرضية")</f>
        <v>أرضية</v>
      </c>
    </row>
    <row r="1722" ht="14.25" customHeight="1">
      <c r="A1722" s="5"/>
      <c r="B1722" s="2" t="s">
        <v>1864</v>
      </c>
      <c r="C1722" s="2">
        <v>4.0</v>
      </c>
      <c r="E1722" s="14" t="s">
        <v>113</v>
      </c>
      <c r="F1722" s="15" t="str">
        <f>IFERROR(__xludf.DUMMYFUNCTION("GOOGLETRANSLATE(B1722,""en"",""ar"")"),"سابق")</f>
        <v>سابق</v>
      </c>
    </row>
    <row r="1723" ht="14.25" customHeight="1">
      <c r="A1723" s="5"/>
      <c r="B1723" s="2" t="s">
        <v>1865</v>
      </c>
      <c r="C1723" s="2">
        <v>4.0</v>
      </c>
      <c r="E1723" s="14" t="s">
        <v>1838</v>
      </c>
      <c r="F1723" s="15" t="str">
        <f>IFERROR(__xludf.DUMMYFUNCTION("GOOGLETRANSLATE(B1723,""en"",""ar"")"),"الله")</f>
        <v>الله</v>
      </c>
    </row>
    <row r="1724" ht="14.25" customHeight="1">
      <c r="A1724" s="5"/>
      <c r="B1724" s="2" t="s">
        <v>1866</v>
      </c>
      <c r="C1724" s="2">
        <v>4.0</v>
      </c>
      <c r="E1724" s="14" t="s">
        <v>120</v>
      </c>
      <c r="F1724" s="15" t="str">
        <f>IFERROR(__xludf.DUMMYFUNCTION("GOOGLETRANSLATE(B1724,""en"",""ar"")"),"الجولف")</f>
        <v>الجولف</v>
      </c>
    </row>
    <row r="1725" ht="14.25" customHeight="1">
      <c r="A1725" s="5"/>
      <c r="B1725" s="2" t="s">
        <v>1867</v>
      </c>
      <c r="C1725" s="2">
        <v>4.0</v>
      </c>
      <c r="E1725" s="14" t="s">
        <v>120</v>
      </c>
      <c r="F1725" s="15" t="str">
        <f>IFERROR(__xludf.DUMMYFUNCTION("GOOGLETRANSLATE(B1725,""en"",""ar"")"),"عادة")</f>
        <v>عادة</v>
      </c>
    </row>
    <row r="1726" ht="14.25" customHeight="1">
      <c r="A1726" s="5"/>
      <c r="B1726" s="2" t="s">
        <v>1868</v>
      </c>
      <c r="C1726" s="2">
        <v>4.0</v>
      </c>
      <c r="E1726" s="14" t="s">
        <v>80</v>
      </c>
      <c r="F1726" s="15" t="str">
        <f>IFERROR(__xludf.DUMMYFUNCTION("GOOGLETRANSLATE(B1726,""en"",""ar"")"),"شعر")</f>
        <v>شعر</v>
      </c>
    </row>
    <row r="1727" ht="14.25" customHeight="1">
      <c r="A1727" s="5"/>
      <c r="B1727" s="2" t="s">
        <v>1869</v>
      </c>
      <c r="C1727" s="2">
        <v>4.0</v>
      </c>
      <c r="E1727" s="14" t="s">
        <v>43</v>
      </c>
      <c r="F1727" s="15" t="str">
        <f>IFERROR(__xludf.DUMMYFUNCTION("GOOGLETRANSLATE(B1727,""en"",""ar"")"),"بالكاد")</f>
        <v>بالكاد</v>
      </c>
    </row>
    <row r="1728" ht="14.25" customHeight="1">
      <c r="A1728" s="5"/>
      <c r="B1728" s="2" t="s">
        <v>1870</v>
      </c>
      <c r="C1728" s="2">
        <v>4.0</v>
      </c>
      <c r="E1728" s="14" t="s">
        <v>80</v>
      </c>
      <c r="F1728" s="15" t="str">
        <f>IFERROR(__xludf.DUMMYFUNCTION("GOOGLETRANSLATE(B1728,""en"",""ar"")"),"سمع")</f>
        <v>سمع</v>
      </c>
    </row>
    <row r="1729" ht="14.25" customHeight="1">
      <c r="A1729" s="5"/>
      <c r="B1729" s="2" t="s">
        <v>1871</v>
      </c>
      <c r="C1729" s="2">
        <v>4.0</v>
      </c>
      <c r="E1729" s="14" t="s">
        <v>95</v>
      </c>
      <c r="F1729" s="15" t="str">
        <f>IFERROR(__xludf.DUMMYFUNCTION("GOOGLETRANSLATE(B1729,""en"",""ar"")"),"جرح")</f>
        <v>جرح</v>
      </c>
    </row>
    <row r="1730" ht="14.25" customHeight="1">
      <c r="A1730" s="5"/>
      <c r="B1730" s="2" t="s">
        <v>1872</v>
      </c>
      <c r="C1730" s="2">
        <v>4.0</v>
      </c>
      <c r="E1730" s="14" t="s">
        <v>236</v>
      </c>
      <c r="F1730" s="15" t="str">
        <f>IFERROR(__xludf.DUMMYFUNCTION("GOOGLETRANSLATE(B1730,""en"",""ar"")"),"غير شرعي")</f>
        <v>غير شرعي</v>
      </c>
    </row>
    <row r="1731" ht="14.25" customHeight="1">
      <c r="A1731" s="5"/>
      <c r="B1731" s="2" t="s">
        <v>1873</v>
      </c>
      <c r="C1731" s="2">
        <v>4.0</v>
      </c>
      <c r="E1731" s="14" t="s">
        <v>13</v>
      </c>
      <c r="F1731" s="15" t="str">
        <f>IFERROR(__xludf.DUMMYFUNCTION("GOOGLETRANSLATE(B1731,""en"",""ar"")"),"دمج او تجسيد")</f>
        <v>دمج او تجسيد</v>
      </c>
    </row>
    <row r="1732" ht="14.25" customHeight="1">
      <c r="A1732" s="5"/>
      <c r="B1732" s="2" t="s">
        <v>1874</v>
      </c>
      <c r="C1732" s="2">
        <v>4.0</v>
      </c>
      <c r="E1732" s="14" t="s">
        <v>80</v>
      </c>
      <c r="F1732" s="15" t="str">
        <f>IFERROR(__xludf.DUMMYFUNCTION("GOOGLETRANSLATE(B1732,""en"",""ar"")"),"مبادر")</f>
        <v>مبادر</v>
      </c>
    </row>
    <row r="1733" ht="14.25" customHeight="1">
      <c r="A1733" s="5"/>
      <c r="B1733" s="2" t="s">
        <v>1875</v>
      </c>
      <c r="C1733" s="2">
        <v>4.0</v>
      </c>
      <c r="E1733" s="14" t="s">
        <v>120</v>
      </c>
      <c r="F1733" s="15" t="str">
        <f>IFERROR(__xludf.DUMMYFUNCTION("GOOGLETRANSLATE(B1733,""en"",""ar"")"),"حديد")</f>
        <v>حديد</v>
      </c>
    </row>
    <row r="1734" ht="14.25" customHeight="1">
      <c r="A1734" s="5"/>
      <c r="B1734" s="2" t="s">
        <v>1876</v>
      </c>
      <c r="C1734" s="2">
        <v>4.0</v>
      </c>
      <c r="E1734" s="14" t="s">
        <v>120</v>
      </c>
      <c r="F1734" s="15" t="str">
        <f>IFERROR(__xludf.DUMMYFUNCTION("GOOGLETRANSLATE(B1734,""en"",""ar"")"),"يحكم على")</f>
        <v>يحكم على</v>
      </c>
    </row>
    <row r="1735" ht="14.25" customHeight="1">
      <c r="A1735" s="5"/>
      <c r="B1735" s="2" t="s">
        <v>1877</v>
      </c>
      <c r="C1735" s="2">
        <v>4.0</v>
      </c>
      <c r="E1735" s="14" t="s">
        <v>80</v>
      </c>
      <c r="F1735" s="15" t="str">
        <f>IFERROR(__xludf.DUMMYFUNCTION("GOOGLETRANSLATE(B1735,""en"",""ar"")"),"حكم")</f>
        <v>حكم</v>
      </c>
    </row>
    <row r="1736" ht="14.25" customHeight="1">
      <c r="A1736" s="5"/>
      <c r="B1736" s="2" t="s">
        <v>1878</v>
      </c>
      <c r="C1736" s="2">
        <v>4.0</v>
      </c>
      <c r="E1736" s="14" t="s">
        <v>13</v>
      </c>
      <c r="F1736" s="15" t="str">
        <f>IFERROR(__xludf.DUMMYFUNCTION("GOOGLETRANSLATE(B1736,""en"",""ar"")"),"يبرر")</f>
        <v>يبرر</v>
      </c>
    </row>
    <row r="1737" ht="14.25" customHeight="1">
      <c r="A1737" s="5"/>
      <c r="B1737" s="2" t="s">
        <v>1879</v>
      </c>
      <c r="C1737" s="2">
        <v>4.0</v>
      </c>
      <c r="E1737" s="14" t="s">
        <v>120</v>
      </c>
      <c r="F1737" s="15" t="str">
        <f>IFERROR(__xludf.DUMMYFUNCTION("GOOGLETRANSLATE(B1737,""en"",""ar"")"),"سكين")</f>
        <v>سكين</v>
      </c>
    </row>
    <row r="1738" ht="14.25" customHeight="1">
      <c r="A1738" s="5"/>
      <c r="B1738" s="2" t="s">
        <v>1880</v>
      </c>
      <c r="C1738" s="2">
        <v>4.0</v>
      </c>
      <c r="E1738" s="14" t="s">
        <v>80</v>
      </c>
      <c r="F1738" s="15" t="str">
        <f>IFERROR(__xludf.DUMMYFUNCTION("GOOGLETRANSLATE(B1738,""en"",""ar"")"),"مختبر")</f>
        <v>مختبر</v>
      </c>
    </row>
    <row r="1739" ht="14.25" customHeight="1">
      <c r="A1739" s="5"/>
      <c r="B1739" s="2" t="s">
        <v>1881</v>
      </c>
      <c r="C1739" s="2">
        <v>4.0</v>
      </c>
      <c r="E1739" s="14" t="s">
        <v>120</v>
      </c>
      <c r="F1739" s="15" t="str">
        <f>IFERROR(__xludf.DUMMYFUNCTION("GOOGLETRANSLATE(B1739,""en"",""ar"")"),"المناظر الطبيعيه")</f>
        <v>المناظر الطبيعيه</v>
      </c>
    </row>
    <row r="1740" ht="14.25" customHeight="1">
      <c r="A1740" s="5"/>
      <c r="B1740" s="2" t="s">
        <v>1882</v>
      </c>
      <c r="C1740" s="2">
        <v>4.0</v>
      </c>
      <c r="E1740" s="14" t="s">
        <v>95</v>
      </c>
      <c r="F1740" s="15" t="str">
        <f>IFERROR(__xludf.DUMMYFUNCTION("GOOGLETRANSLATE(B1740,""en"",""ar"")"),"يضحك")</f>
        <v>يضحك</v>
      </c>
    </row>
    <row r="1741" ht="14.25" customHeight="1">
      <c r="A1741" s="5"/>
      <c r="B1741" s="2" t="s">
        <v>1883</v>
      </c>
      <c r="C1741" s="2">
        <v>4.0</v>
      </c>
      <c r="E1741" s="14" t="s">
        <v>325</v>
      </c>
      <c r="F1741" s="15" t="str">
        <f>IFERROR(__xludf.DUMMYFUNCTION("GOOGLETRANSLATE(B1741,""en"",""ar"")"),"يضع")</f>
        <v>يضع</v>
      </c>
    </row>
    <row r="1742" ht="14.25" customHeight="1">
      <c r="A1742" s="5"/>
      <c r="B1742" s="2" t="s">
        <v>1884</v>
      </c>
      <c r="C1742" s="2">
        <v>4.0</v>
      </c>
      <c r="E1742" s="14" t="s">
        <v>120</v>
      </c>
      <c r="F1742" s="15" t="str">
        <f>IFERROR(__xludf.DUMMYFUNCTION("GOOGLETRANSLATE(B1742,""en"",""ar"")"),"الدوري")</f>
        <v>الدوري</v>
      </c>
    </row>
    <row r="1743" ht="14.25" customHeight="1">
      <c r="A1743" s="5"/>
      <c r="B1743" s="2" t="s">
        <v>1885</v>
      </c>
      <c r="C1743" s="2">
        <v>4.0</v>
      </c>
      <c r="E1743" s="14" t="s">
        <v>51</v>
      </c>
      <c r="F1743" s="15" t="str">
        <f>IFERROR(__xludf.DUMMYFUNCTION("GOOGLETRANSLATE(B1743,""en"",""ar"")"),"بصوت عال")</f>
        <v>بصوت عال</v>
      </c>
    </row>
    <row r="1744" ht="14.25" customHeight="1">
      <c r="A1744" s="5"/>
      <c r="B1744" s="2" t="s">
        <v>1886</v>
      </c>
      <c r="C1744" s="2">
        <v>4.0</v>
      </c>
      <c r="E1744" s="14" t="s">
        <v>120</v>
      </c>
      <c r="F1744" s="15" t="str">
        <f>IFERROR(__xludf.DUMMYFUNCTION("GOOGLETRANSLATE(B1744,""en"",""ar"")"),"بريد")</f>
        <v>بريد</v>
      </c>
    </row>
    <row r="1745" ht="14.25" customHeight="1">
      <c r="A1745" s="5"/>
      <c r="B1745" s="2" t="s">
        <v>1887</v>
      </c>
      <c r="C1745" s="2">
        <v>4.0</v>
      </c>
      <c r="E1745" s="14" t="s">
        <v>113</v>
      </c>
      <c r="F1745" s="15" t="str">
        <f>IFERROR(__xludf.DUMMYFUNCTION("GOOGLETRANSLATE(B1745,""en"",""ar"")"),"جَسِيم")</f>
        <v>جَسِيم</v>
      </c>
    </row>
    <row r="1746" ht="14.25" customHeight="1">
      <c r="A1746" s="5"/>
      <c r="B1746" s="2" t="s">
        <v>1888</v>
      </c>
      <c r="C1746" s="2">
        <v>4.0</v>
      </c>
      <c r="E1746" s="14" t="s">
        <v>80</v>
      </c>
      <c r="F1746" s="15" t="str">
        <f>IFERROR(__xludf.DUMMYFUNCTION("GOOGLETRANSLATE(B1746,""en"",""ar"")"),"قياس")</f>
        <v>قياس</v>
      </c>
    </row>
    <row r="1747" ht="14.25" customHeight="1">
      <c r="A1747" s="5"/>
      <c r="B1747" s="2" t="s">
        <v>1889</v>
      </c>
      <c r="C1747" s="2">
        <v>4.0</v>
      </c>
      <c r="E1747" s="14" t="s">
        <v>120</v>
      </c>
      <c r="F1747" s="15" t="str">
        <f>IFERROR(__xludf.DUMMYFUNCTION("GOOGLETRANSLATE(B1747,""en"",""ar"")"),"فوضى")</f>
        <v>فوضى</v>
      </c>
    </row>
    <row r="1748" ht="14.25" customHeight="1">
      <c r="A1748" s="5"/>
      <c r="B1748" s="2" t="s">
        <v>1890</v>
      </c>
      <c r="C1748" s="2">
        <v>4.0</v>
      </c>
      <c r="E1748" s="14" t="s">
        <v>236</v>
      </c>
      <c r="F1748" s="15" t="str">
        <f>IFERROR(__xludf.DUMMYFUNCTION("GOOGLETRANSLATE(B1748,""en"",""ar"")"),"التليفون المحمول")</f>
        <v>التليفون المحمول</v>
      </c>
    </row>
    <row r="1749" ht="14.25" customHeight="1">
      <c r="A1749" s="5"/>
      <c r="B1749" s="2" t="s">
        <v>1891</v>
      </c>
      <c r="C1749" s="2">
        <v>4.0</v>
      </c>
      <c r="E1749" s="14" t="s">
        <v>80</v>
      </c>
      <c r="F1749" s="15" t="str">
        <f>IFERROR(__xludf.DUMMYFUNCTION("GOOGLETRANSLATE(B1749,""en"",""ar"")"),"الوضع")</f>
        <v>الوضع</v>
      </c>
    </row>
    <row r="1750" ht="14.25" customHeight="1">
      <c r="A1750" s="5"/>
      <c r="B1750" s="2" t="s">
        <v>1892</v>
      </c>
      <c r="C1750" s="2">
        <v>4.0</v>
      </c>
      <c r="E1750" s="14" t="s">
        <v>80</v>
      </c>
      <c r="F1750" s="15" t="str">
        <f>IFERROR(__xludf.DUMMYFUNCTION("GOOGLETRANSLATE(B1750,""en"",""ar"")"),"طين")</f>
        <v>طين</v>
      </c>
    </row>
    <row r="1751" ht="14.25" customHeight="1">
      <c r="A1751" s="5"/>
      <c r="B1751" s="2" t="s">
        <v>1893</v>
      </c>
      <c r="C1751" s="2">
        <v>4.0</v>
      </c>
      <c r="E1751" s="14" t="s">
        <v>236</v>
      </c>
      <c r="F1751" s="15" t="str">
        <f>IFERROR(__xludf.DUMMYFUNCTION("GOOGLETRANSLATE(B1751,""en"",""ar"")"),"مقرف")</f>
        <v>مقرف</v>
      </c>
    </row>
    <row r="1752" ht="14.25" customHeight="1">
      <c r="A1752" s="5"/>
      <c r="B1752" s="2" t="s">
        <v>1894</v>
      </c>
      <c r="C1752" s="2">
        <v>4.0</v>
      </c>
      <c r="E1752" s="14" t="s">
        <v>149</v>
      </c>
      <c r="F1752" s="15" t="str">
        <f>IFERROR(__xludf.DUMMYFUNCTION("GOOGLETRANSLATE(B1752,""en"",""ar"")"),"محلي")</f>
        <v>محلي</v>
      </c>
    </row>
    <row r="1753" ht="14.25" customHeight="1">
      <c r="A1753" s="5"/>
      <c r="B1753" s="2" t="s">
        <v>1895</v>
      </c>
      <c r="C1753" s="2">
        <v>4.0</v>
      </c>
      <c r="E1753" s="14" t="s">
        <v>149</v>
      </c>
      <c r="F1753" s="15" t="str">
        <f>IFERROR(__xludf.DUMMYFUNCTION("GOOGLETRANSLATE(B1753,""en"",""ar"")"),"افتتاح")</f>
        <v>افتتاح</v>
      </c>
    </row>
    <row r="1754" ht="14.25" customHeight="1">
      <c r="A1754" s="5"/>
      <c r="B1754" s="2" t="s">
        <v>1896</v>
      </c>
      <c r="C1754" s="2">
        <v>4.0</v>
      </c>
      <c r="E1754" s="14" t="s">
        <v>80</v>
      </c>
      <c r="F1754" s="15" t="str">
        <f>IFERROR(__xludf.DUMMYFUNCTION("GOOGLETRANSLATE(B1754,""en"",""ar"")"),"البرتقالي")</f>
        <v>البرتقالي</v>
      </c>
    </row>
    <row r="1755" ht="14.25" customHeight="1">
      <c r="A1755" s="5"/>
      <c r="B1755" s="2" t="s">
        <v>1897</v>
      </c>
      <c r="C1755" s="2">
        <v>4.0</v>
      </c>
      <c r="E1755" s="14" t="s">
        <v>236</v>
      </c>
      <c r="F1755" s="15" t="str">
        <f>IFERROR(__xludf.DUMMYFUNCTION("GOOGLETRANSLATE(B1755,""en"",""ar"")"),"عادي")</f>
        <v>عادي</v>
      </c>
    </row>
    <row r="1756" ht="14.25" customHeight="1">
      <c r="A1756" s="5"/>
      <c r="B1756" s="2" t="s">
        <v>1898</v>
      </c>
      <c r="C1756" s="2">
        <v>4.0</v>
      </c>
      <c r="E1756" s="14" t="s">
        <v>13</v>
      </c>
      <c r="F1756" s="15" t="str">
        <f>IFERROR(__xludf.DUMMYFUNCTION("GOOGLETRANSLATE(B1756,""en"",""ar"")"),"تنظم")</f>
        <v>تنظم</v>
      </c>
    </row>
    <row r="1757" ht="14.25" customHeight="1">
      <c r="A1757" s="5"/>
      <c r="B1757" s="2" t="s">
        <v>1899</v>
      </c>
      <c r="C1757" s="2">
        <v>4.0</v>
      </c>
      <c r="E1757" s="14" t="s">
        <v>13</v>
      </c>
      <c r="F1757" s="15" t="str">
        <f>IFERROR(__xludf.DUMMYFUNCTION("GOOGLETRANSLATE(B1757,""en"",""ar"")"),"ينبغي")</f>
        <v>ينبغي</v>
      </c>
    </row>
    <row r="1758" ht="14.25" customHeight="1">
      <c r="A1758" s="5"/>
      <c r="B1758" s="2" t="s">
        <v>1900</v>
      </c>
      <c r="C1758" s="2">
        <v>4.0</v>
      </c>
      <c r="E1758" s="14" t="s">
        <v>120</v>
      </c>
      <c r="F1758" s="15" t="str">
        <f>IFERROR(__xludf.DUMMYFUNCTION("GOOGLETRANSLATE(B1758,""en"",""ar"")"),"الأبوين")</f>
        <v>الأبوين</v>
      </c>
    </row>
    <row r="1759" ht="14.25" customHeight="1">
      <c r="A1759" s="5"/>
      <c r="B1759" s="2" t="s">
        <v>1901</v>
      </c>
      <c r="C1759" s="2">
        <v>4.0</v>
      </c>
      <c r="E1759" s="14" t="s">
        <v>120</v>
      </c>
      <c r="F1759" s="15" t="str">
        <f>IFERROR(__xludf.DUMMYFUNCTION("GOOGLETRANSLATE(B1759,""en"",""ar"")"),"نمط")</f>
        <v>نمط</v>
      </c>
    </row>
    <row r="1760" ht="14.25" customHeight="1">
      <c r="A1760" s="5"/>
      <c r="B1760" s="2" t="s">
        <v>1902</v>
      </c>
      <c r="C1760" s="2">
        <v>4.0</v>
      </c>
      <c r="E1760" s="14" t="s">
        <v>120</v>
      </c>
      <c r="F1760" s="15" t="str">
        <f>IFERROR(__xludf.DUMMYFUNCTION("GOOGLETRANSLATE(B1760,""en"",""ar"")"),"دبوس")</f>
        <v>دبوس</v>
      </c>
    </row>
    <row r="1761" ht="14.25" customHeight="1">
      <c r="A1761" s="5"/>
      <c r="B1761" s="2" t="s">
        <v>1903</v>
      </c>
      <c r="C1761" s="2">
        <v>4.0</v>
      </c>
      <c r="E1761" s="14" t="s">
        <v>80</v>
      </c>
      <c r="F1761" s="15" t="str">
        <f>IFERROR(__xludf.DUMMYFUNCTION("GOOGLETRANSLATE(B1761,""en"",""ar"")"),"الشعر")</f>
        <v>الشعر</v>
      </c>
    </row>
    <row r="1762" ht="14.25" customHeight="1">
      <c r="A1762" s="5"/>
      <c r="B1762" s="2" t="s">
        <v>1904</v>
      </c>
      <c r="C1762" s="2">
        <v>4.0</v>
      </c>
      <c r="E1762" s="14" t="s">
        <v>80</v>
      </c>
      <c r="F1762" s="15" t="str">
        <f>IFERROR(__xludf.DUMMYFUNCTION("GOOGLETRANSLATE(B1762,""en"",""ar"")"),"شرطة")</f>
        <v>شرطة</v>
      </c>
    </row>
    <row r="1763" ht="14.25" customHeight="1">
      <c r="A1763" s="5"/>
      <c r="B1763" s="2" t="s">
        <v>1905</v>
      </c>
      <c r="C1763" s="2">
        <v>4.0</v>
      </c>
      <c r="E1763" s="14" t="s">
        <v>120</v>
      </c>
      <c r="F1763" s="15" t="str">
        <f>IFERROR(__xludf.DUMMYFUNCTION("GOOGLETRANSLATE(B1763,""en"",""ar"")"),"حمام سباحة")</f>
        <v>حمام سباحة</v>
      </c>
    </row>
    <row r="1764" ht="14.25" customHeight="1">
      <c r="A1764" s="5"/>
      <c r="B1764" s="2" t="s">
        <v>1906</v>
      </c>
      <c r="C1764" s="2">
        <v>4.0</v>
      </c>
      <c r="E1764" s="14" t="s">
        <v>13</v>
      </c>
      <c r="F1764" s="15" t="str">
        <f>IFERROR(__xludf.DUMMYFUNCTION("GOOGLETRANSLATE(B1764,""en"",""ar"")"),"يمتلك")</f>
        <v>يمتلك</v>
      </c>
    </row>
    <row r="1765" ht="14.25" customHeight="1">
      <c r="A1765" s="5"/>
      <c r="B1765" s="2" t="s">
        <v>1907</v>
      </c>
      <c r="C1765" s="2">
        <v>4.0</v>
      </c>
      <c r="E1765" s="14" t="s">
        <v>80</v>
      </c>
      <c r="F1765" s="15" t="str">
        <f>IFERROR(__xludf.DUMMYFUNCTION("GOOGLETRANSLATE(B1765,""en"",""ar"")"),"إمكانية")</f>
        <v>إمكانية</v>
      </c>
    </row>
    <row r="1766" ht="14.25" customHeight="1">
      <c r="A1766" s="5"/>
      <c r="B1766" s="2" t="s">
        <v>1908</v>
      </c>
      <c r="C1766" s="2">
        <v>4.0</v>
      </c>
      <c r="E1766" s="14" t="s">
        <v>120</v>
      </c>
      <c r="F1766" s="15" t="str">
        <f>IFERROR(__xludf.DUMMYFUNCTION("GOOGLETRANSLATE(B1766,""en"",""ar"")"),"جنيه")</f>
        <v>جنيه</v>
      </c>
    </row>
    <row r="1767" ht="14.25" customHeight="1">
      <c r="A1767" s="5"/>
      <c r="B1767" s="2" t="s">
        <v>1909</v>
      </c>
      <c r="C1767" s="2">
        <v>4.0</v>
      </c>
      <c r="E1767" s="14" t="s">
        <v>80</v>
      </c>
      <c r="F1767" s="15" t="str">
        <f>IFERROR(__xludf.DUMMYFUNCTION("GOOGLETRANSLATE(B1767,""en"",""ar"")"),"إجراء")</f>
        <v>إجراء</v>
      </c>
    </row>
    <row r="1768" ht="14.25" customHeight="1">
      <c r="A1768" s="5"/>
      <c r="B1768" s="2" t="s">
        <v>1910</v>
      </c>
      <c r="C1768" s="2">
        <v>4.0</v>
      </c>
      <c r="E1768" s="14" t="s">
        <v>80</v>
      </c>
      <c r="F1768" s="15" t="str">
        <f>IFERROR(__xludf.DUMMYFUNCTION("GOOGLETRANSLATE(B1768,""en"",""ar"")"),"ملكة")</f>
        <v>ملكة</v>
      </c>
    </row>
    <row r="1769" ht="14.25" customHeight="1">
      <c r="A1769" s="5"/>
      <c r="B1769" s="2" t="s">
        <v>1911</v>
      </c>
      <c r="C1769" s="2">
        <v>4.0</v>
      </c>
      <c r="E1769" s="14" t="s">
        <v>80</v>
      </c>
      <c r="F1769" s="15" t="str">
        <f>IFERROR(__xludf.DUMMYFUNCTION("GOOGLETRANSLATE(B1769,""en"",""ar"")"),"نسبة")</f>
        <v>نسبة</v>
      </c>
    </row>
    <row r="1770" ht="14.25" customHeight="1">
      <c r="A1770" s="5"/>
      <c r="B1770" s="2" t="s">
        <v>1912</v>
      </c>
      <c r="C1770" s="2">
        <v>4.0</v>
      </c>
      <c r="E1770" s="14" t="s">
        <v>43</v>
      </c>
      <c r="F1770" s="15" t="str">
        <f>IFERROR(__xludf.DUMMYFUNCTION("GOOGLETRANSLATE(B1770,""en"",""ar"")"),"بسهولة")</f>
        <v>بسهولة</v>
      </c>
    </row>
    <row r="1771" ht="14.25" customHeight="1">
      <c r="A1771" s="5"/>
      <c r="B1771" s="2" t="s">
        <v>1913</v>
      </c>
      <c r="C1771" s="2">
        <v>4.0</v>
      </c>
      <c r="E1771" s="14" t="s">
        <v>80</v>
      </c>
      <c r="F1771" s="15" t="str">
        <f>IFERROR(__xludf.DUMMYFUNCTION("GOOGLETRANSLATE(B1771,""en"",""ar"")"),"علاقة")</f>
        <v>علاقة</v>
      </c>
    </row>
    <row r="1772" ht="14.25" customHeight="1">
      <c r="A1772" s="5"/>
      <c r="B1772" s="2" t="s">
        <v>1914</v>
      </c>
      <c r="C1772" s="2">
        <v>4.0</v>
      </c>
      <c r="E1772" s="14" t="s">
        <v>13</v>
      </c>
      <c r="F1772" s="15" t="str">
        <f>IFERROR(__xludf.DUMMYFUNCTION("GOOGLETRANSLATE(B1772,""en"",""ar"")"),"اعفاء")</f>
        <v>اعفاء</v>
      </c>
    </row>
    <row r="1773" ht="14.25" customHeight="1">
      <c r="A1773" s="5"/>
      <c r="B1773" s="2" t="s">
        <v>1915</v>
      </c>
      <c r="C1773" s="2">
        <v>4.0</v>
      </c>
      <c r="E1773" s="14" t="s">
        <v>120</v>
      </c>
      <c r="F1773" s="15" t="str">
        <f>IFERROR(__xludf.DUMMYFUNCTION("GOOGLETRANSLATE(B1773,""en"",""ar"")"),"طلب")</f>
        <v>طلب</v>
      </c>
    </row>
    <row r="1774" ht="14.25" customHeight="1">
      <c r="A1774" s="5"/>
      <c r="B1774" s="2" t="s">
        <v>1916</v>
      </c>
      <c r="C1774" s="2">
        <v>4.0</v>
      </c>
      <c r="E1774" s="14" t="s">
        <v>95</v>
      </c>
      <c r="F1774" s="15" t="str">
        <f>IFERROR(__xludf.DUMMYFUNCTION("GOOGLETRANSLATE(B1774,""en"",""ar"")"),"رد")</f>
        <v>رد</v>
      </c>
    </row>
    <row r="1775" ht="14.25" customHeight="1">
      <c r="A1775" s="5"/>
      <c r="B1775" s="2" t="s">
        <v>1917</v>
      </c>
      <c r="C1775" s="2">
        <v>4.0</v>
      </c>
      <c r="E1775" s="14" t="s">
        <v>80</v>
      </c>
      <c r="F1775" s="15" t="str">
        <f>IFERROR(__xludf.DUMMYFUNCTION("GOOGLETRANSLATE(B1775,""en"",""ar"")"),"مطعم")</f>
        <v>مطعم</v>
      </c>
    </row>
    <row r="1776" ht="14.25" customHeight="1">
      <c r="A1776" s="5"/>
      <c r="B1776" s="2" t="s">
        <v>1918</v>
      </c>
      <c r="C1776" s="2">
        <v>4.0</v>
      </c>
      <c r="E1776" s="14" t="s">
        <v>13</v>
      </c>
      <c r="F1776" s="15" t="str">
        <f>IFERROR(__xludf.DUMMYFUNCTION("GOOGLETRANSLATE(B1776,""en"",""ar"")"),"يحتفظ")</f>
        <v>يحتفظ</v>
      </c>
    </row>
    <row r="1777" ht="14.25" customHeight="1">
      <c r="A1777" s="5"/>
      <c r="B1777" s="2" t="s">
        <v>1919</v>
      </c>
      <c r="C1777" s="2">
        <v>4.0</v>
      </c>
      <c r="E1777" s="14" t="s">
        <v>236</v>
      </c>
      <c r="F1777" s="15" t="str">
        <f>IFERROR(__xludf.DUMMYFUNCTION("GOOGLETRANSLATE(B1777,""en"",""ar"")"),"الملكي")</f>
        <v>الملكي</v>
      </c>
    </row>
    <row r="1778" ht="14.25" customHeight="1">
      <c r="A1778" s="5"/>
      <c r="B1778" s="2" t="s">
        <v>1920</v>
      </c>
      <c r="C1778" s="2">
        <v>4.0</v>
      </c>
      <c r="E1778" s="14" t="s">
        <v>120</v>
      </c>
      <c r="F1778" s="15" t="str">
        <f>IFERROR(__xludf.DUMMYFUNCTION("GOOGLETRANSLATE(B1778,""en"",""ar"")"),"راتب")</f>
        <v>راتب</v>
      </c>
    </row>
    <row r="1779" ht="14.25" customHeight="1">
      <c r="A1779" s="5"/>
      <c r="B1779" s="2" t="s">
        <v>1921</v>
      </c>
      <c r="C1779" s="2">
        <v>4.0</v>
      </c>
      <c r="E1779" s="14" t="s">
        <v>80</v>
      </c>
      <c r="F1779" s="15" t="str">
        <f>IFERROR(__xludf.DUMMYFUNCTION("GOOGLETRANSLATE(B1779,""en"",""ar"")"),"إشباع")</f>
        <v>إشباع</v>
      </c>
    </row>
    <row r="1780" ht="14.25" customHeight="1">
      <c r="A1780" s="5"/>
      <c r="B1780" s="2" t="s">
        <v>1922</v>
      </c>
      <c r="C1780" s="2">
        <v>4.0</v>
      </c>
      <c r="E1780" s="14" t="s">
        <v>80</v>
      </c>
      <c r="F1780" s="15" t="str">
        <f>IFERROR(__xludf.DUMMYFUNCTION("GOOGLETRANSLATE(B1780,""en"",""ar"")"),"قطاع")</f>
        <v>قطاع</v>
      </c>
    </row>
    <row r="1781" ht="14.25" customHeight="1">
      <c r="A1781" s="5"/>
      <c r="B1781" s="2" t="s">
        <v>1923</v>
      </c>
      <c r="C1781" s="2">
        <v>4.0</v>
      </c>
      <c r="E1781" s="14" t="s">
        <v>236</v>
      </c>
      <c r="F1781" s="15" t="str">
        <f>IFERROR(__xludf.DUMMYFUNCTION("GOOGLETRANSLATE(B1781,""en"",""ar"")"),"أول")</f>
        <v>أول</v>
      </c>
    </row>
    <row r="1782" ht="14.25" customHeight="1">
      <c r="A1782" s="5"/>
      <c r="B1782" s="2" t="s">
        <v>1924</v>
      </c>
      <c r="C1782" s="2">
        <v>4.0</v>
      </c>
      <c r="E1782" s="14" t="s">
        <v>120</v>
      </c>
      <c r="F1782" s="15" t="str">
        <f>IFERROR(__xludf.DUMMYFUNCTION("GOOGLETRANSLATE(B1782,""en"",""ar"")"),"عار")</f>
        <v>عار</v>
      </c>
    </row>
    <row r="1783" ht="14.25" customHeight="1">
      <c r="A1783" s="5"/>
      <c r="B1783" s="2" t="s">
        <v>1925</v>
      </c>
      <c r="C1783" s="2">
        <v>4.0</v>
      </c>
      <c r="E1783" s="14" t="s">
        <v>120</v>
      </c>
      <c r="F1783" s="15" t="str">
        <f>IFERROR(__xludf.DUMMYFUNCTION("GOOGLETRANSLATE(B1783,""en"",""ar"")"),"مأوى")</f>
        <v>مأوى</v>
      </c>
    </row>
    <row r="1784" ht="14.25" customHeight="1">
      <c r="A1784" s="5"/>
      <c r="B1784" s="2" t="s">
        <v>1926</v>
      </c>
      <c r="C1784" s="2">
        <v>4.0</v>
      </c>
      <c r="E1784" s="14" t="s">
        <v>120</v>
      </c>
      <c r="F1784" s="15" t="str">
        <f>IFERROR(__xludf.DUMMYFUNCTION("GOOGLETRANSLATE(B1784,""en"",""ar"")"),"حذاء")</f>
        <v>حذاء</v>
      </c>
    </row>
    <row r="1785" ht="14.25" customHeight="1">
      <c r="A1785" s="5"/>
      <c r="B1785" s="2" t="s">
        <v>1927</v>
      </c>
      <c r="C1785" s="2">
        <v>4.0</v>
      </c>
      <c r="E1785" s="14" t="s">
        <v>13</v>
      </c>
      <c r="F1785" s="15" t="str">
        <f>IFERROR(__xludf.DUMMYFUNCTION("GOOGLETRANSLATE(B1785,""en"",""ar"")"),"اغلق")</f>
        <v>اغلق</v>
      </c>
    </row>
    <row r="1786" ht="14.25" customHeight="1">
      <c r="A1786" s="5"/>
      <c r="B1786" s="2" t="s">
        <v>1928</v>
      </c>
      <c r="C1786" s="2">
        <v>4.0</v>
      </c>
      <c r="E1786" s="14" t="s">
        <v>80</v>
      </c>
      <c r="F1786" s="15" t="str">
        <f>IFERROR(__xludf.DUMMYFUNCTION("GOOGLETRANSLATE(B1786,""en"",""ar"")"),"التوقيع")</f>
        <v>التوقيع</v>
      </c>
    </row>
    <row r="1787" ht="14.25" customHeight="1">
      <c r="A1787" s="5"/>
      <c r="B1787" s="2" t="s">
        <v>1929</v>
      </c>
      <c r="C1787" s="2">
        <v>4.0</v>
      </c>
      <c r="E1787" s="14" t="s">
        <v>80</v>
      </c>
      <c r="F1787" s="15" t="str">
        <f>IFERROR(__xludf.DUMMYFUNCTION("GOOGLETRANSLATE(B1787,""en"",""ar"")"),"الدلالة")</f>
        <v>الدلالة</v>
      </c>
    </row>
    <row r="1788" ht="14.25" customHeight="1">
      <c r="A1788" s="5"/>
      <c r="B1788" s="2" t="s">
        <v>1930</v>
      </c>
      <c r="C1788" s="2">
        <v>4.0</v>
      </c>
      <c r="E1788" s="14" t="s">
        <v>84</v>
      </c>
      <c r="F1788" s="15" t="str">
        <f>IFERROR(__xludf.DUMMYFUNCTION("GOOGLETRANSLATE(B1788,""en"",""ar"")"),"فضة")</f>
        <v>فضة</v>
      </c>
    </row>
    <row r="1789" ht="14.25" customHeight="1">
      <c r="A1789" s="5"/>
      <c r="B1789" s="2" t="s">
        <v>1931</v>
      </c>
      <c r="C1789" s="2">
        <v>4.0</v>
      </c>
      <c r="E1789" s="14" t="s">
        <v>31</v>
      </c>
      <c r="F1789" s="15" t="str">
        <f>IFERROR(__xludf.DUMMYFUNCTION("GOOGLETRANSLATE(B1789,""en"",""ar"")"),"شخص ما")</f>
        <v>شخص ما</v>
      </c>
    </row>
    <row r="1790" ht="14.25" customHeight="1">
      <c r="A1790" s="5"/>
      <c r="B1790" s="2" t="s">
        <v>1932</v>
      </c>
      <c r="C1790" s="2">
        <v>4.0</v>
      </c>
      <c r="E1790" s="14" t="s">
        <v>80</v>
      </c>
      <c r="F1790" s="15" t="str">
        <f>IFERROR(__xludf.DUMMYFUNCTION("GOOGLETRANSLATE(B1790,""en"",""ar"")"),"أغنية")</f>
        <v>أغنية</v>
      </c>
    </row>
    <row r="1791" ht="14.25" customHeight="1">
      <c r="A1791" s="5"/>
      <c r="B1791" s="2" t="s">
        <v>1933</v>
      </c>
      <c r="C1791" s="2">
        <v>4.0</v>
      </c>
      <c r="E1791" s="14" t="s">
        <v>113</v>
      </c>
      <c r="F1791" s="15" t="str">
        <f>IFERROR(__xludf.DUMMYFUNCTION("GOOGLETRANSLATE(B1791,""en"",""ar"")"),"الجنوب")</f>
        <v>الجنوب</v>
      </c>
    </row>
    <row r="1792" ht="14.25" customHeight="1">
      <c r="A1792" s="5"/>
      <c r="B1792" s="2" t="s">
        <v>1934</v>
      </c>
      <c r="C1792" s="2">
        <v>4.0</v>
      </c>
      <c r="E1792" s="14" t="s">
        <v>95</v>
      </c>
      <c r="F1792" s="15" t="str">
        <f>IFERROR(__xludf.DUMMYFUNCTION("GOOGLETRANSLATE(B1792,""en"",""ar"")"),"ينقسم")</f>
        <v>ينقسم</v>
      </c>
    </row>
    <row r="1793" ht="14.25" customHeight="1">
      <c r="A1793" s="5"/>
      <c r="B1793" s="2" t="s">
        <v>1935</v>
      </c>
      <c r="C1793" s="2">
        <v>4.0</v>
      </c>
      <c r="E1793" s="14" t="s">
        <v>95</v>
      </c>
      <c r="F1793" s="15" t="str">
        <f>IFERROR(__xludf.DUMMYFUNCTION("GOOGLETRANSLATE(B1793,""en"",""ar"")"),"التواء")</f>
        <v>التواء</v>
      </c>
    </row>
    <row r="1794" ht="14.25" customHeight="1">
      <c r="A1794" s="5"/>
      <c r="B1794" s="2" t="s">
        <v>1936</v>
      </c>
      <c r="C1794" s="2">
        <v>4.0</v>
      </c>
      <c r="E1794" s="14" t="s">
        <v>95</v>
      </c>
      <c r="F1794" s="15" t="str">
        <f>IFERROR(__xludf.DUMMYFUNCTION("GOOGLETRANSLATE(B1794,""en"",""ar"")"),"صراع")</f>
        <v>صراع</v>
      </c>
    </row>
    <row r="1795" ht="14.25" customHeight="1">
      <c r="A1795" s="5"/>
      <c r="B1795" s="2" t="s">
        <v>1937</v>
      </c>
      <c r="C1795" s="2">
        <v>4.0</v>
      </c>
      <c r="E1795" s="14" t="s">
        <v>337</v>
      </c>
      <c r="F1795" s="15" t="str">
        <f>IFERROR(__xludf.DUMMYFUNCTION("GOOGLETRANSLATE(B1795,""en"",""ar"")"),"ممتاز")</f>
        <v>ممتاز</v>
      </c>
    </row>
    <row r="1796" ht="14.25" customHeight="1">
      <c r="A1796" s="5"/>
      <c r="B1796" s="2" t="s">
        <v>1938</v>
      </c>
      <c r="C1796" s="2">
        <v>4.0</v>
      </c>
      <c r="E1796" s="14" t="s">
        <v>95</v>
      </c>
      <c r="F1796" s="15" t="str">
        <f>IFERROR(__xludf.DUMMYFUNCTION("GOOGLETRANSLATE(B1796,""en"",""ar"")"),"السباحة")</f>
        <v>السباحة</v>
      </c>
    </row>
    <row r="1797" ht="14.25" customHeight="1">
      <c r="A1797" s="5"/>
      <c r="B1797" s="2" t="s">
        <v>1939</v>
      </c>
      <c r="C1797" s="2">
        <v>4.0</v>
      </c>
      <c r="E1797" s="14" t="s">
        <v>120</v>
      </c>
      <c r="F1797" s="15" t="str">
        <f>IFERROR(__xludf.DUMMYFUNCTION("GOOGLETRANSLATE(B1797,""en"",""ar"")"),"يعالج")</f>
        <v>يعالج</v>
      </c>
    </row>
    <row r="1798" ht="14.25" customHeight="1">
      <c r="A1798" s="5"/>
      <c r="B1798" s="2" t="s">
        <v>1940</v>
      </c>
      <c r="C1798" s="2">
        <v>4.0</v>
      </c>
      <c r="E1798" s="14" t="s">
        <v>120</v>
      </c>
      <c r="F1798" s="15" t="str">
        <f>IFERROR(__xludf.DUMMYFUNCTION("GOOGLETRANSLATE(B1798,""en"",""ar"")"),"خزان")</f>
        <v>خزان</v>
      </c>
    </row>
    <row r="1799" ht="14.25" customHeight="1">
      <c r="A1799" s="5"/>
      <c r="B1799" s="2" t="s">
        <v>1941</v>
      </c>
      <c r="C1799" s="2">
        <v>4.0</v>
      </c>
      <c r="E1799" s="14" t="s">
        <v>43</v>
      </c>
      <c r="F1799" s="15" t="str">
        <f>IFERROR(__xludf.DUMMYFUNCTION("GOOGLETRANSLATE(B1799,""en"",""ar"")"),"رهيب")</f>
        <v>رهيب</v>
      </c>
    </row>
    <row r="1800" ht="14.25" customHeight="1">
      <c r="A1800" s="5"/>
      <c r="B1800" s="2" t="s">
        <v>1942</v>
      </c>
      <c r="C1800" s="2">
        <v>4.0</v>
      </c>
      <c r="E1800" s="14" t="s">
        <v>51</v>
      </c>
      <c r="F1800" s="15" t="str">
        <f>IFERROR(__xludf.DUMMYFUNCTION("GOOGLETRANSLATE(B1800,""en"",""ar"")"),"مشدود")</f>
        <v>مشدود</v>
      </c>
    </row>
    <row r="1801" ht="14.25" customHeight="1">
      <c r="A1801" s="5"/>
      <c r="B1801" s="2" t="s">
        <v>1943</v>
      </c>
      <c r="C1801" s="2">
        <v>4.0</v>
      </c>
      <c r="E1801" s="14" t="s">
        <v>80</v>
      </c>
      <c r="F1801" s="15" t="str">
        <f>IFERROR(__xludf.DUMMYFUNCTION("GOOGLETRANSLATE(B1801,""en"",""ar"")"),"سن")</f>
        <v>سن</v>
      </c>
    </row>
    <row r="1802" ht="14.25" customHeight="1">
      <c r="A1802" s="5"/>
      <c r="B1802" s="2" t="s">
        <v>1944</v>
      </c>
      <c r="C1802" s="2">
        <v>4.0</v>
      </c>
      <c r="E1802" s="14" t="s">
        <v>80</v>
      </c>
      <c r="F1802" s="15" t="str">
        <f>IFERROR(__xludf.DUMMYFUNCTION("GOOGLETRANSLATE(B1802,""en"",""ar"")"),"بلدة")</f>
        <v>بلدة</v>
      </c>
    </row>
    <row r="1803" ht="14.25" customHeight="1">
      <c r="A1803" s="5"/>
      <c r="B1803" s="2" t="s">
        <v>1945</v>
      </c>
      <c r="C1803" s="2">
        <v>4.0</v>
      </c>
      <c r="E1803" s="14" t="s">
        <v>95</v>
      </c>
      <c r="F1803" s="15" t="str">
        <f>IFERROR(__xludf.DUMMYFUNCTION("GOOGLETRANSLATE(B1803,""en"",""ar"")"),"قطار")</f>
        <v>قطار</v>
      </c>
    </row>
    <row r="1804" ht="14.25" customHeight="1">
      <c r="A1804" s="5"/>
      <c r="B1804" s="2" t="s">
        <v>1946</v>
      </c>
      <c r="C1804" s="2">
        <v>4.0</v>
      </c>
      <c r="E1804" s="14" t="s">
        <v>120</v>
      </c>
      <c r="F1804" s="15" t="str">
        <f>IFERROR(__xludf.DUMMYFUNCTION("GOOGLETRANSLATE(B1804,""en"",""ar"")"),"ثقة")</f>
        <v>ثقة</v>
      </c>
    </row>
    <row r="1805" ht="14.25" customHeight="1">
      <c r="A1805" s="5"/>
      <c r="B1805" s="2" t="s">
        <v>1947</v>
      </c>
      <c r="C1805" s="2">
        <v>4.0</v>
      </c>
      <c r="E1805" s="14" t="s">
        <v>113</v>
      </c>
      <c r="F1805" s="15" t="str">
        <f>IFERROR(__xludf.DUMMYFUNCTION("GOOGLETRANSLATE(B1805,""en"",""ar"")"),"غير منصف")</f>
        <v>غير منصف</v>
      </c>
    </row>
    <row r="1806" ht="14.25" customHeight="1">
      <c r="A1806" s="5"/>
      <c r="B1806" s="2" t="s">
        <v>1948</v>
      </c>
      <c r="C1806" s="2">
        <v>4.0</v>
      </c>
      <c r="E1806" s="14" t="s">
        <v>43</v>
      </c>
      <c r="F1806" s="15" t="str">
        <f>IFERROR(__xludf.DUMMYFUNCTION("GOOGLETRANSLATE(B1806,""en"",""ar"")"),"لسوء الحظ")</f>
        <v>لسوء الحظ</v>
      </c>
    </row>
    <row r="1807" ht="14.25" customHeight="1">
      <c r="A1807" s="5"/>
      <c r="B1807" s="2" t="s">
        <v>1949</v>
      </c>
      <c r="C1807" s="2">
        <v>4.0</v>
      </c>
      <c r="E1807" s="14" t="s">
        <v>236</v>
      </c>
      <c r="F1807" s="15" t="str">
        <f>IFERROR(__xludf.DUMMYFUNCTION("GOOGLETRANSLATE(B1807,""en"",""ar"")"),"العلوي")</f>
        <v>العلوي</v>
      </c>
    </row>
    <row r="1808" ht="14.25" customHeight="1">
      <c r="A1808" s="5"/>
      <c r="B1808" s="2" t="s">
        <v>1950</v>
      </c>
      <c r="C1808" s="2">
        <v>4.0</v>
      </c>
      <c r="E1808" s="14" t="s">
        <v>80</v>
      </c>
      <c r="F1808" s="15" t="str">
        <f>IFERROR(__xludf.DUMMYFUNCTION("GOOGLETRANSLATE(B1808,""en"",""ar"")"),"عربة")</f>
        <v>عربة</v>
      </c>
    </row>
    <row r="1809" ht="14.25" customHeight="1">
      <c r="A1809" s="5"/>
      <c r="B1809" s="2" t="s">
        <v>1951</v>
      </c>
      <c r="C1809" s="2">
        <v>4.0</v>
      </c>
      <c r="E1809" s="14" t="s">
        <v>113</v>
      </c>
      <c r="F1809" s="15" t="str">
        <f>IFERROR(__xludf.DUMMYFUNCTION("GOOGLETRANSLATE(B1809,""en"",""ar"")"),"مرئي")</f>
        <v>مرئي</v>
      </c>
    </row>
    <row r="1810" ht="14.25" customHeight="1">
      <c r="A1810" s="5"/>
      <c r="B1810" s="2" t="s">
        <v>1952</v>
      </c>
      <c r="C1810" s="2">
        <v>4.0</v>
      </c>
      <c r="E1810" s="14" t="s">
        <v>80</v>
      </c>
      <c r="F1810" s="15" t="str">
        <f>IFERROR(__xludf.DUMMYFUNCTION("GOOGLETRANSLATE(B1810,""en"",""ar"")"),"الصوت")</f>
        <v>الصوت</v>
      </c>
    </row>
    <row r="1811" ht="14.25" customHeight="1">
      <c r="A1811" s="5"/>
      <c r="B1811" s="2" t="s">
        <v>1953</v>
      </c>
      <c r="C1811" s="2">
        <v>4.0</v>
      </c>
      <c r="E1811" s="14" t="s">
        <v>95</v>
      </c>
      <c r="F1811" s="15" t="str">
        <f>IFERROR(__xludf.DUMMYFUNCTION("GOOGLETRANSLATE(B1811,""en"",""ar"")"),"غسل")</f>
        <v>غسل</v>
      </c>
    </row>
    <row r="1812" ht="14.25" customHeight="1">
      <c r="A1812" s="5"/>
      <c r="B1812" s="2" t="s">
        <v>1954</v>
      </c>
      <c r="C1812" s="2">
        <v>4.0</v>
      </c>
      <c r="E1812" s="14" t="s">
        <v>198</v>
      </c>
      <c r="F1812" s="15" t="str">
        <f>IFERROR(__xludf.DUMMYFUNCTION("GOOGLETRANSLATE(B1812,""en"",""ar"")"),"المخلفات")</f>
        <v>المخلفات</v>
      </c>
    </row>
    <row r="1813" ht="14.25" customHeight="1">
      <c r="A1813" s="5"/>
      <c r="B1813" s="2" t="s">
        <v>1955</v>
      </c>
      <c r="C1813" s="2">
        <v>4.0</v>
      </c>
      <c r="E1813" s="14" t="s">
        <v>80</v>
      </c>
      <c r="F1813" s="15" t="str">
        <f>IFERROR(__xludf.DUMMYFUNCTION("GOOGLETRANSLATE(B1813,""en"",""ar"")"),"زوجة")</f>
        <v>زوجة</v>
      </c>
    </row>
    <row r="1814" ht="14.25" customHeight="1">
      <c r="A1814" s="5"/>
      <c r="B1814" s="2" t="s">
        <v>1956</v>
      </c>
      <c r="C1814" s="2">
        <v>4.0</v>
      </c>
      <c r="E1814" s="14" t="s">
        <v>406</v>
      </c>
      <c r="F1814" s="15" t="str">
        <f>IFERROR(__xludf.DUMMYFUNCTION("GOOGLETRANSLATE(B1814,""en"",""ar"")"),"الأصفر")</f>
        <v>الأصفر</v>
      </c>
    </row>
    <row r="1815" ht="14.25" customHeight="1">
      <c r="A1815" s="5"/>
      <c r="B1815" s="2" t="s">
        <v>1957</v>
      </c>
      <c r="C1815" s="2">
        <v>4.0</v>
      </c>
      <c r="E1815" s="14" t="s">
        <v>31</v>
      </c>
      <c r="F1815" s="15" t="str">
        <f>IFERROR(__xludf.DUMMYFUNCTION("GOOGLETRANSLATE(B1815,""en"",""ar"")"),"لك")</f>
        <v>لك</v>
      </c>
    </row>
    <row r="1816" ht="14.25" customHeight="1">
      <c r="A1816" s="5"/>
      <c r="B1816" s="2" t="s">
        <v>1958</v>
      </c>
      <c r="C1816" s="2">
        <v>3.0</v>
      </c>
      <c r="E1816" s="14" t="s">
        <v>80</v>
      </c>
      <c r="F1816" s="15" t="str">
        <f>IFERROR(__xludf.DUMMYFUNCTION("GOOGLETRANSLATE(B1816,""en"",""ar"")"),"حادثة")</f>
        <v>حادثة</v>
      </c>
    </row>
    <row r="1817" ht="14.25" customHeight="1">
      <c r="A1817" s="5"/>
      <c r="B1817" s="2" t="s">
        <v>1959</v>
      </c>
      <c r="C1817" s="2">
        <v>3.0</v>
      </c>
      <c r="E1817" s="14" t="s">
        <v>80</v>
      </c>
      <c r="F1817" s="15" t="str">
        <f>IFERROR(__xludf.DUMMYFUNCTION("GOOGLETRANSLATE(B1817,""en"",""ar"")"),"مطار")</f>
        <v>مطار</v>
      </c>
    </row>
    <row r="1818" ht="14.25" customHeight="1">
      <c r="A1818" s="5"/>
      <c r="B1818" s="2" t="s">
        <v>1960</v>
      </c>
      <c r="C1818" s="2">
        <v>3.0</v>
      </c>
      <c r="E1818" s="14" t="s">
        <v>113</v>
      </c>
      <c r="F1818" s="15" t="str">
        <f>IFERROR(__xludf.DUMMYFUNCTION("GOOGLETRANSLATE(B1818,""en"",""ar"")"),"على قيد الحياة")</f>
        <v>على قيد الحياة</v>
      </c>
    </row>
    <row r="1819" ht="14.25" customHeight="1">
      <c r="A1819" s="5"/>
      <c r="B1819" s="2" t="s">
        <v>1961</v>
      </c>
      <c r="C1819" s="2">
        <v>3.0</v>
      </c>
      <c r="E1819" s="14" t="s">
        <v>113</v>
      </c>
      <c r="F1819" s="15" t="str">
        <f>IFERROR(__xludf.DUMMYFUNCTION("GOOGLETRANSLATE(B1819,""en"",""ar"")"),"غاضب")</f>
        <v>غاضب</v>
      </c>
    </row>
    <row r="1820" ht="14.25" customHeight="1">
      <c r="A1820" s="5"/>
      <c r="B1820" s="2" t="s">
        <v>1962</v>
      </c>
      <c r="C1820" s="2">
        <v>3.0</v>
      </c>
      <c r="E1820" s="14" t="s">
        <v>80</v>
      </c>
      <c r="F1820" s="15" t="str">
        <f>IFERROR(__xludf.DUMMYFUNCTION("GOOGLETRANSLATE(B1820,""en"",""ar"")"),"موعد")</f>
        <v>موعد</v>
      </c>
    </row>
    <row r="1821" ht="14.25" customHeight="1">
      <c r="A1821" s="5"/>
      <c r="B1821" s="2" t="s">
        <v>1963</v>
      </c>
      <c r="C1821" s="2">
        <v>3.0</v>
      </c>
      <c r="E1821" s="14" t="s">
        <v>80</v>
      </c>
      <c r="F1821" s="15" t="str">
        <f>IFERROR(__xludf.DUMMYFUNCTION("GOOGLETRANSLATE(B1821,""en"",""ar"")"),"وصول")</f>
        <v>وصول</v>
      </c>
    </row>
    <row r="1822" ht="14.25" customHeight="1">
      <c r="A1822" s="5"/>
      <c r="B1822" s="2" t="s">
        <v>1964</v>
      </c>
      <c r="C1822" s="2">
        <v>3.0</v>
      </c>
      <c r="E1822" s="14" t="s">
        <v>120</v>
      </c>
      <c r="F1822" s="15" t="str">
        <f>IFERROR(__xludf.DUMMYFUNCTION("GOOGLETRANSLATE(B1822,""en"",""ar"")"),"مساعدة")</f>
        <v>مساعدة</v>
      </c>
    </row>
    <row r="1823" ht="14.25" customHeight="1">
      <c r="A1823" s="5"/>
      <c r="B1823" s="2" t="s">
        <v>1965</v>
      </c>
      <c r="C1823" s="2">
        <v>3.0</v>
      </c>
      <c r="E1823" s="14" t="s">
        <v>80</v>
      </c>
      <c r="F1823" s="15" t="str">
        <f>IFERROR(__xludf.DUMMYFUNCTION("GOOGLETRANSLATE(B1823,""en"",""ar"")"),"افتراض")</f>
        <v>افتراض</v>
      </c>
    </row>
    <row r="1824" ht="14.25" customHeight="1">
      <c r="A1824" s="5"/>
      <c r="B1824" s="2" t="s">
        <v>1966</v>
      </c>
      <c r="C1824" s="2">
        <v>3.0</v>
      </c>
      <c r="E1824" s="14" t="s">
        <v>120</v>
      </c>
      <c r="F1824" s="15" t="str">
        <f>IFERROR(__xludf.DUMMYFUNCTION("GOOGLETRANSLATE(B1824,""en"",""ar"")"),"خبز")</f>
        <v>خبز</v>
      </c>
    </row>
    <row r="1825" ht="14.25" customHeight="1">
      <c r="A1825" s="5"/>
      <c r="B1825" s="2" t="s">
        <v>1967</v>
      </c>
      <c r="C1825" s="2">
        <v>3.0</v>
      </c>
      <c r="E1825" s="14" t="s">
        <v>1968</v>
      </c>
      <c r="F1825" s="15" t="str">
        <f>IFERROR(__xludf.DUMMYFUNCTION("GOOGLETRANSLATE(B1825,""en"",""ar"")"),"شريط")</f>
        <v>شريط</v>
      </c>
    </row>
    <row r="1826" ht="14.25" customHeight="1">
      <c r="A1826" s="5"/>
      <c r="B1826" s="2" t="s">
        <v>1969</v>
      </c>
      <c r="C1826" s="2">
        <v>3.0</v>
      </c>
      <c r="E1826" s="14" t="s">
        <v>80</v>
      </c>
      <c r="F1826" s="15" t="str">
        <f>IFERROR(__xludf.DUMMYFUNCTION("GOOGLETRANSLATE(B1826,""en"",""ar"")"),"البيسبول")</f>
        <v>البيسبول</v>
      </c>
    </row>
    <row r="1827" ht="14.25" customHeight="1">
      <c r="A1827" s="5"/>
      <c r="B1827" s="2" t="s">
        <v>1970</v>
      </c>
      <c r="C1827" s="2">
        <v>3.0</v>
      </c>
      <c r="E1827" s="14" t="s">
        <v>120</v>
      </c>
      <c r="F1827" s="15" t="str">
        <f>IFERROR(__xludf.DUMMYFUNCTION("GOOGLETRANSLATE(B1827,""en"",""ar"")"),"جرس")</f>
        <v>جرس</v>
      </c>
    </row>
    <row r="1828" ht="14.25" customHeight="1">
      <c r="A1828" s="5"/>
      <c r="B1828" s="2" t="s">
        <v>1971</v>
      </c>
      <c r="C1828" s="2">
        <v>3.0</v>
      </c>
      <c r="E1828" s="14" t="s">
        <v>120</v>
      </c>
      <c r="F1828" s="15" t="str">
        <f>IFERROR(__xludf.DUMMYFUNCTION("GOOGLETRANSLATE(B1828,""en"",""ar"")"),"دراجة هوائية")</f>
        <v>دراجة هوائية</v>
      </c>
    </row>
    <row r="1829" ht="14.25" customHeight="1">
      <c r="A1829" s="5"/>
      <c r="B1829" s="2" t="s">
        <v>1972</v>
      </c>
      <c r="C1829" s="2">
        <v>3.0</v>
      </c>
      <c r="E1829" s="14" t="s">
        <v>120</v>
      </c>
      <c r="F1829" s="15" t="str">
        <f>IFERROR(__xludf.DUMMYFUNCTION("GOOGLETRANSLATE(B1829,""en"",""ar"")"),"إلقاء اللوم على")</f>
        <v>إلقاء اللوم على</v>
      </c>
    </row>
    <row r="1830" ht="14.25" customHeight="1">
      <c r="A1830" s="5"/>
      <c r="B1830" s="2" t="s">
        <v>1973</v>
      </c>
      <c r="C1830" s="2">
        <v>3.0</v>
      </c>
      <c r="E1830" s="14" t="s">
        <v>1838</v>
      </c>
      <c r="F1830" s="15" t="str">
        <f>IFERROR(__xludf.DUMMYFUNCTION("GOOGLETRANSLATE(B1830,""en"",""ar"")"),"صبي")</f>
        <v>صبي</v>
      </c>
    </row>
    <row r="1831" ht="14.25" customHeight="1">
      <c r="A1831" s="5"/>
      <c r="B1831" s="2" t="s">
        <v>1974</v>
      </c>
      <c r="C1831" s="2">
        <v>3.0</v>
      </c>
      <c r="E1831" s="14" t="s">
        <v>120</v>
      </c>
      <c r="F1831" s="15" t="str">
        <f>IFERROR(__xludf.DUMMYFUNCTION("GOOGLETRANSLATE(B1831,""en"",""ar"")"),"قالب طوب")</f>
        <v>قالب طوب</v>
      </c>
    </row>
    <row r="1832" ht="14.25" customHeight="1">
      <c r="A1832" s="5"/>
      <c r="B1832" s="2" t="s">
        <v>1975</v>
      </c>
      <c r="C1832" s="2">
        <v>3.0</v>
      </c>
      <c r="E1832" s="14" t="s">
        <v>13</v>
      </c>
      <c r="F1832" s="15" t="str">
        <f>IFERROR(__xludf.DUMMYFUNCTION("GOOGLETRANSLATE(B1832,""en"",""ar"")"),"حساب")</f>
        <v>حساب</v>
      </c>
    </row>
    <row r="1833" ht="14.25" customHeight="1">
      <c r="A1833" s="5"/>
      <c r="B1833" s="2" t="s">
        <v>1976</v>
      </c>
      <c r="C1833" s="2">
        <v>3.0</v>
      </c>
      <c r="E1833" s="14" t="s">
        <v>120</v>
      </c>
      <c r="F1833" s="15" t="str">
        <f>IFERROR(__xludf.DUMMYFUNCTION("GOOGLETRANSLATE(B1833,""en"",""ar"")"),"كرسي")</f>
        <v>كرسي</v>
      </c>
    </row>
    <row r="1834" ht="14.25" customHeight="1">
      <c r="A1834" s="5"/>
      <c r="B1834" s="2" t="s">
        <v>1977</v>
      </c>
      <c r="C1834" s="2">
        <v>3.0</v>
      </c>
      <c r="E1834" s="14" t="s">
        <v>80</v>
      </c>
      <c r="F1834" s="15" t="str">
        <f>IFERROR(__xludf.DUMMYFUNCTION("GOOGLETRANSLATE(B1834,""en"",""ar"")"),"الفصل")</f>
        <v>الفصل</v>
      </c>
    </row>
    <row r="1835" ht="14.25" customHeight="1">
      <c r="A1835" s="5"/>
      <c r="B1835" s="2" t="s">
        <v>1978</v>
      </c>
      <c r="C1835" s="2">
        <v>3.0</v>
      </c>
      <c r="E1835" s="14" t="s">
        <v>129</v>
      </c>
      <c r="F1835" s="15" t="str">
        <f>IFERROR(__xludf.DUMMYFUNCTION("GOOGLETRANSLATE(B1835,""en"",""ar"")"),"خزانة")</f>
        <v>خزانة</v>
      </c>
    </row>
    <row r="1836" ht="14.25" customHeight="1">
      <c r="A1836" s="5"/>
      <c r="B1836" s="2" t="s">
        <v>1979</v>
      </c>
      <c r="C1836" s="2">
        <v>3.0</v>
      </c>
      <c r="E1836" s="14" t="s">
        <v>120</v>
      </c>
      <c r="F1836" s="15" t="str">
        <f>IFERROR(__xludf.DUMMYFUNCTION("GOOGLETRANSLATE(B1836,""en"",""ar"")"),"فكرة")</f>
        <v>فكرة</v>
      </c>
    </row>
    <row r="1837" ht="14.25" customHeight="1">
      <c r="A1837" s="5"/>
      <c r="B1837" s="2" t="s">
        <v>1980</v>
      </c>
      <c r="C1837" s="2">
        <v>3.0</v>
      </c>
      <c r="E1837" s="14" t="s">
        <v>120</v>
      </c>
      <c r="F1837" s="15" t="str">
        <f>IFERROR(__xludf.DUMMYFUNCTION("GOOGLETRANSLATE(B1837,""en"",""ar"")"),"طوق")</f>
        <v>طوق</v>
      </c>
    </row>
    <row r="1838" ht="14.25" customHeight="1">
      <c r="A1838" s="5"/>
      <c r="B1838" s="2" t="s">
        <v>1981</v>
      </c>
      <c r="C1838" s="2">
        <v>3.0</v>
      </c>
      <c r="E1838" s="14" t="s">
        <v>120</v>
      </c>
      <c r="F1838" s="15" t="str">
        <f>IFERROR(__xludf.DUMMYFUNCTION("GOOGLETRANSLATE(B1838,""en"",""ar"")"),"تعليق")</f>
        <v>تعليق</v>
      </c>
    </row>
    <row r="1839" ht="14.25" customHeight="1">
      <c r="A1839" s="5"/>
      <c r="B1839" s="2" t="s">
        <v>1982</v>
      </c>
      <c r="C1839" s="2">
        <v>3.0</v>
      </c>
      <c r="E1839" s="14" t="s">
        <v>80</v>
      </c>
      <c r="F1839" s="15" t="str">
        <f>IFERROR(__xludf.DUMMYFUNCTION("GOOGLETRANSLATE(B1839,""en"",""ar"")"),"لجنة")</f>
        <v>لجنة</v>
      </c>
    </row>
    <row r="1840" ht="14.25" customHeight="1">
      <c r="A1840" s="5"/>
      <c r="B1840" s="2" t="s">
        <v>1983</v>
      </c>
      <c r="C1840" s="2">
        <v>3.0</v>
      </c>
      <c r="E1840" s="14" t="s">
        <v>13</v>
      </c>
      <c r="F1840" s="15" t="str">
        <f>IFERROR(__xludf.DUMMYFUNCTION("GOOGLETRANSLATE(B1840,""en"",""ar"")"),"تنافس")</f>
        <v>تنافس</v>
      </c>
    </row>
    <row r="1841" ht="14.25" customHeight="1">
      <c r="A1841" s="5"/>
      <c r="B1841" s="2" t="s">
        <v>1984</v>
      </c>
      <c r="C1841" s="2">
        <v>3.0</v>
      </c>
      <c r="E1841" s="14" t="s">
        <v>33</v>
      </c>
      <c r="F1841" s="15" t="str">
        <f>IFERROR(__xludf.DUMMYFUNCTION("GOOGLETRANSLATE(B1841,""en"",""ar"")"),"بخصوص")</f>
        <v>بخصوص</v>
      </c>
    </row>
    <row r="1842" ht="14.25" customHeight="1">
      <c r="A1842" s="5"/>
      <c r="B1842" s="2" t="s">
        <v>1985</v>
      </c>
      <c r="C1842" s="2">
        <v>3.0</v>
      </c>
      <c r="E1842" s="14" t="s">
        <v>120</v>
      </c>
      <c r="F1842" s="15" t="str">
        <f>IFERROR(__xludf.DUMMYFUNCTION("GOOGLETRANSLATE(B1842,""en"",""ar"")"),"مؤتمر")</f>
        <v>مؤتمر</v>
      </c>
    </row>
    <row r="1843" ht="14.25" customHeight="1">
      <c r="A1843" s="5"/>
      <c r="B1843" s="2" t="s">
        <v>1986</v>
      </c>
      <c r="C1843" s="2">
        <v>3.0</v>
      </c>
      <c r="E1843" s="14" t="s">
        <v>13</v>
      </c>
      <c r="F1843" s="15" t="str">
        <f>IFERROR(__xludf.DUMMYFUNCTION("GOOGLETRANSLATE(B1843,""en"",""ar"")"),"شاور")</f>
        <v>شاور</v>
      </c>
    </row>
    <row r="1844" ht="14.25" customHeight="1">
      <c r="A1844" s="5"/>
      <c r="B1844" s="2" t="s">
        <v>1987</v>
      </c>
      <c r="C1844" s="2">
        <v>3.0</v>
      </c>
      <c r="E1844" s="14" t="s">
        <v>80</v>
      </c>
      <c r="F1844" s="15" t="str">
        <f>IFERROR(__xludf.DUMMYFUNCTION("GOOGLETRANSLATE(B1844,""en"",""ar"")"),"محادثة")</f>
        <v>محادثة</v>
      </c>
    </row>
    <row r="1845" ht="14.25" customHeight="1">
      <c r="A1845" s="5"/>
      <c r="B1845" s="2" t="s">
        <v>1988</v>
      </c>
      <c r="C1845" s="2">
        <v>3.0</v>
      </c>
      <c r="E1845" s="14" t="s">
        <v>95</v>
      </c>
      <c r="F1845" s="15" t="str">
        <f>IFERROR(__xludf.DUMMYFUNCTION("GOOGLETRANSLATE(B1845,""en"",""ar"")"),"يتحول")</f>
        <v>يتحول</v>
      </c>
    </row>
    <row r="1846" ht="14.25" customHeight="1">
      <c r="A1846" s="5"/>
      <c r="B1846" s="2" t="s">
        <v>1989</v>
      </c>
      <c r="C1846" s="2">
        <v>3.0</v>
      </c>
      <c r="E1846" s="14" t="s">
        <v>1286</v>
      </c>
      <c r="F1846" s="15" t="str">
        <f>IFERROR(__xludf.DUMMYFUNCTION("GOOGLETRANSLATE(B1846,""en"",""ar"")"),"يصطدم")</f>
        <v>يصطدم</v>
      </c>
    </row>
    <row r="1847" ht="14.25" customHeight="1">
      <c r="A1847" s="5"/>
      <c r="B1847" s="2" t="s">
        <v>1990</v>
      </c>
      <c r="C1847" s="2">
        <v>3.0</v>
      </c>
      <c r="E1847" s="14" t="s">
        <v>80</v>
      </c>
      <c r="F1847" s="15" t="str">
        <f>IFERROR(__xludf.DUMMYFUNCTION("GOOGLETRANSLATE(B1847,""en"",""ar"")"),"قاعدة البيانات")</f>
        <v>قاعدة البيانات</v>
      </c>
    </row>
    <row r="1848" ht="14.25" customHeight="1">
      <c r="A1848" s="5"/>
      <c r="B1848" s="2" t="s">
        <v>1991</v>
      </c>
      <c r="C1848" s="2">
        <v>3.0</v>
      </c>
      <c r="E1848" s="14" t="s">
        <v>13</v>
      </c>
      <c r="F1848" s="15" t="str">
        <f>IFERROR(__xludf.DUMMYFUNCTION("GOOGLETRANSLATE(B1848,""en"",""ar"")"),"ايصال")</f>
        <v>ايصال</v>
      </c>
    </row>
    <row r="1849" ht="14.25" customHeight="1">
      <c r="A1849" s="5"/>
      <c r="B1849" s="2" t="s">
        <v>1992</v>
      </c>
      <c r="C1849" s="2">
        <v>3.0</v>
      </c>
      <c r="E1849" s="14" t="s">
        <v>236</v>
      </c>
      <c r="F1849" s="15" t="str">
        <f>IFERROR(__xludf.DUMMYFUNCTION("GOOGLETRANSLATE(B1849,""en"",""ar"")"),"يعتمد")</f>
        <v>يعتمد</v>
      </c>
    </row>
    <row r="1850" ht="14.25" customHeight="1">
      <c r="A1850" s="5"/>
      <c r="B1850" s="2" t="s">
        <v>1993</v>
      </c>
      <c r="C1850" s="2">
        <v>3.0</v>
      </c>
      <c r="E1850" s="14" t="s">
        <v>113</v>
      </c>
      <c r="F1850" s="15" t="str">
        <f>IFERROR(__xludf.DUMMYFUNCTION("GOOGLETRANSLATE(B1850,""en"",""ar"")"),"متحرّق إلى")</f>
        <v>متحرّق إلى</v>
      </c>
    </row>
    <row r="1851" ht="14.25" customHeight="1">
      <c r="A1851" s="5"/>
      <c r="B1851" s="2" t="s">
        <v>1994</v>
      </c>
      <c r="C1851" s="2">
        <v>3.0</v>
      </c>
      <c r="E1851" s="14" t="s">
        <v>120</v>
      </c>
      <c r="F1851" s="15" t="str">
        <f>IFERROR(__xludf.DUMMYFUNCTION("GOOGLETRANSLATE(B1851,""en"",""ar"")"),"شيطان")</f>
        <v>شيطان</v>
      </c>
    </row>
    <row r="1852" ht="14.25" customHeight="1">
      <c r="A1852" s="5"/>
      <c r="B1852" s="2" t="s">
        <v>1995</v>
      </c>
      <c r="C1852" s="2">
        <v>3.0</v>
      </c>
      <c r="E1852" s="14" t="s">
        <v>120</v>
      </c>
      <c r="F1852" s="15" t="str">
        <f>IFERROR(__xludf.DUMMYFUNCTION("GOOGLETRANSLATE(B1852,""en"",""ar"")"),"حمية")</f>
        <v>حمية</v>
      </c>
    </row>
    <row r="1853" ht="14.25" customHeight="1">
      <c r="A1853" s="5"/>
      <c r="B1853" s="2" t="s">
        <v>1996</v>
      </c>
      <c r="C1853" s="2">
        <v>3.0</v>
      </c>
      <c r="E1853" s="14" t="s">
        <v>80</v>
      </c>
      <c r="F1853" s="15" t="str">
        <f>IFERROR(__xludf.DUMMYFUNCTION("GOOGLETRANSLATE(B1853,""en"",""ar"")"),"حماس")</f>
        <v>حماس</v>
      </c>
    </row>
    <row r="1854" ht="14.25" customHeight="1">
      <c r="A1854" s="5"/>
      <c r="B1854" s="2" t="s">
        <v>1997</v>
      </c>
      <c r="C1854" s="2">
        <v>3.0</v>
      </c>
      <c r="E1854" s="14" t="s">
        <v>80</v>
      </c>
      <c r="F1854" s="15" t="str">
        <f>IFERROR(__xludf.DUMMYFUNCTION("GOOGLETRANSLATE(B1854,""en"",""ar"")"),"خطأ")</f>
        <v>خطأ</v>
      </c>
    </row>
    <row r="1855" ht="14.25" customHeight="1">
      <c r="A1855" s="5"/>
      <c r="B1855" s="2" t="s">
        <v>1998</v>
      </c>
      <c r="C1855" s="2">
        <v>3.0</v>
      </c>
      <c r="E1855" s="14" t="s">
        <v>113</v>
      </c>
      <c r="F1855" s="15" t="str">
        <f>IFERROR(__xludf.DUMMYFUNCTION("GOOGLETRANSLATE(B1855,""en"",""ar"")"),"مثير")</f>
        <v>مثير</v>
      </c>
    </row>
    <row r="1856" ht="14.25" customHeight="1">
      <c r="A1856" s="5"/>
      <c r="B1856" s="2" t="s">
        <v>1999</v>
      </c>
      <c r="C1856" s="2">
        <v>3.0</v>
      </c>
      <c r="E1856" s="14" t="s">
        <v>80</v>
      </c>
      <c r="F1856" s="15" t="str">
        <f>IFERROR(__xludf.DUMMYFUNCTION("GOOGLETRANSLATE(B1856,""en"",""ar"")"),"تفسير")</f>
        <v>تفسير</v>
      </c>
    </row>
    <row r="1857" ht="14.25" customHeight="1">
      <c r="A1857" s="5"/>
      <c r="B1857" s="2" t="s">
        <v>2000</v>
      </c>
      <c r="C1857" s="2">
        <v>3.0</v>
      </c>
      <c r="E1857" s="14" t="s">
        <v>13</v>
      </c>
      <c r="F1857" s="15" t="str">
        <f>IFERROR(__xludf.DUMMYFUNCTION("GOOGLETRANSLATE(B1857,""en"",""ar"")"),"تمديد")</f>
        <v>تمديد</v>
      </c>
    </row>
    <row r="1858" ht="14.25" customHeight="1">
      <c r="A1858" s="5"/>
      <c r="B1858" s="2" t="s">
        <v>2001</v>
      </c>
      <c r="C1858" s="2">
        <v>3.0</v>
      </c>
      <c r="E1858" s="14" t="s">
        <v>80</v>
      </c>
      <c r="F1858" s="15" t="str">
        <f>IFERROR(__xludf.DUMMYFUNCTION("GOOGLETRANSLATE(B1858,""en"",""ar"")"),"مزارع")</f>
        <v>مزارع</v>
      </c>
    </row>
    <row r="1859" ht="14.25" customHeight="1">
      <c r="A1859" s="5"/>
      <c r="B1859" s="2" t="s">
        <v>2002</v>
      </c>
      <c r="C1859" s="2">
        <v>3.0</v>
      </c>
      <c r="E1859" s="14" t="s">
        <v>120</v>
      </c>
      <c r="F1859" s="15" t="str">
        <f>IFERROR(__xludf.DUMMYFUNCTION("GOOGLETRANSLATE(B1859,""en"",""ar"")"),"يخاف")</f>
        <v>يخاف</v>
      </c>
    </row>
    <row r="1860" ht="14.25" customHeight="1">
      <c r="A1860" s="5"/>
      <c r="B1860" s="2" t="s">
        <v>2003</v>
      </c>
      <c r="C1860" s="2">
        <v>3.0</v>
      </c>
      <c r="E1860" s="14" t="s">
        <v>95</v>
      </c>
      <c r="F1860" s="15" t="str">
        <f>IFERROR(__xludf.DUMMYFUNCTION("GOOGLETRANSLATE(B1860,""en"",""ar"")"),"يطوى")</f>
        <v>يطوى</v>
      </c>
    </row>
    <row r="1861" ht="14.25" customHeight="1">
      <c r="A1861" s="5"/>
      <c r="B1861" s="2" t="s">
        <v>2004</v>
      </c>
      <c r="C1861" s="2">
        <v>3.0</v>
      </c>
      <c r="E1861" s="14" t="s">
        <v>43</v>
      </c>
      <c r="F1861" s="15" t="str">
        <f>IFERROR(__xludf.DUMMYFUNCTION("GOOGLETRANSLATE(B1861,""en"",""ar"")"),"راب")</f>
        <v>راب</v>
      </c>
    </row>
    <row r="1862" ht="14.25" customHeight="1">
      <c r="A1862" s="5"/>
      <c r="B1862" s="2" t="s">
        <v>2005</v>
      </c>
      <c r="C1862" s="2">
        <v>3.0</v>
      </c>
      <c r="E1862" s="14" t="s">
        <v>113</v>
      </c>
      <c r="F1862" s="15" t="str">
        <f>IFERROR(__xludf.DUMMYFUNCTION("GOOGLETRANSLATE(B1862,""en"",""ar"")"),"ودي")</f>
        <v>ودي</v>
      </c>
    </row>
    <row r="1863" ht="14.25" customHeight="1">
      <c r="A1863" s="5"/>
      <c r="B1863" s="2" t="s">
        <v>2006</v>
      </c>
      <c r="C1863" s="2">
        <v>3.0</v>
      </c>
      <c r="E1863" s="14" t="s">
        <v>120</v>
      </c>
      <c r="F1863" s="15" t="str">
        <f>IFERROR(__xludf.DUMMYFUNCTION("GOOGLETRANSLATE(B1863,""en"",""ar"")"),"الوقود")</f>
        <v>الوقود</v>
      </c>
    </row>
    <row r="1864" ht="14.25" customHeight="1">
      <c r="A1864" s="5"/>
      <c r="B1864" s="2" t="s">
        <v>2007</v>
      </c>
      <c r="C1864" s="2">
        <v>3.0</v>
      </c>
      <c r="E1864" s="14" t="s">
        <v>236</v>
      </c>
      <c r="F1864" s="15" t="str">
        <f>IFERROR(__xludf.DUMMYFUNCTION("GOOGLETRANSLATE(B1864,""en"",""ar"")"),"مضحك")</f>
        <v>مضحك</v>
      </c>
    </row>
    <row r="1865" ht="14.25" customHeight="1">
      <c r="A1865" s="5"/>
      <c r="B1865" s="2" t="s">
        <v>2008</v>
      </c>
      <c r="C1865" s="2">
        <v>3.0</v>
      </c>
      <c r="E1865" s="14" t="s">
        <v>80</v>
      </c>
      <c r="F1865" s="15" t="str">
        <f>IFERROR(__xludf.DUMMYFUNCTION("GOOGLETRANSLATE(B1865,""en"",""ar"")"),"بوابة")</f>
        <v>بوابة</v>
      </c>
    </row>
    <row r="1866" ht="14.25" customHeight="1">
      <c r="A1866" s="5"/>
      <c r="B1866" s="2" t="s">
        <v>2009</v>
      </c>
      <c r="C1866" s="2">
        <v>3.0</v>
      </c>
      <c r="E1866" s="14" t="s">
        <v>80</v>
      </c>
      <c r="F1866" s="15" t="str">
        <f>IFERROR(__xludf.DUMMYFUNCTION("GOOGLETRANSLATE(B1866,""en"",""ar"")"),"فتاة")</f>
        <v>فتاة</v>
      </c>
    </row>
    <row r="1867" ht="14.25" customHeight="1">
      <c r="A1867" s="5"/>
      <c r="B1867" s="2" t="s">
        <v>2010</v>
      </c>
      <c r="C1867" s="2">
        <v>3.0</v>
      </c>
      <c r="E1867" s="14" t="s">
        <v>120</v>
      </c>
      <c r="F1867" s="15" t="str">
        <f>IFERROR(__xludf.DUMMYFUNCTION("GOOGLETRANSLATE(B1867,""en"",""ar"")"),"قفاز")</f>
        <v>قفاز</v>
      </c>
    </row>
    <row r="1868" ht="14.25" customHeight="1">
      <c r="A1868" s="5"/>
      <c r="B1868" s="2" t="s">
        <v>2011</v>
      </c>
      <c r="C1868" s="2">
        <v>3.0</v>
      </c>
      <c r="E1868" s="14" t="s">
        <v>95</v>
      </c>
      <c r="F1868" s="15" t="str">
        <f>IFERROR(__xludf.DUMMYFUNCTION("GOOGLETRANSLATE(B1868,""en"",""ar"")"),"إختطاف")</f>
        <v>إختطاف</v>
      </c>
    </row>
    <row r="1869" ht="14.25" customHeight="1">
      <c r="A1869" s="5"/>
      <c r="B1869" s="2" t="s">
        <v>2012</v>
      </c>
      <c r="C1869" s="2">
        <v>3.0</v>
      </c>
      <c r="E1869" s="14" t="s">
        <v>648</v>
      </c>
      <c r="F1869" s="15" t="str">
        <f>IFERROR(__xludf.DUMMYFUNCTION("GOOGLETRANSLATE(B1869,""en"",""ar"")"),"أزداد")</f>
        <v>أزداد</v>
      </c>
    </row>
    <row r="1870" ht="14.25" customHeight="1">
      <c r="A1870" s="5"/>
      <c r="B1870" s="2" t="s">
        <v>2013</v>
      </c>
      <c r="C1870" s="2">
        <v>3.0</v>
      </c>
      <c r="E1870" s="14" t="s">
        <v>80</v>
      </c>
      <c r="F1870" s="15" t="str">
        <f>IFERROR(__xludf.DUMMYFUNCTION("GOOGLETRANSLATE(B1870,""en"",""ar"")"),"صالة")</f>
        <v>صالة</v>
      </c>
    </row>
    <row r="1871" ht="14.25" customHeight="1">
      <c r="A1871" s="5"/>
      <c r="B1871" s="2" t="s">
        <v>2014</v>
      </c>
      <c r="C1871" s="2">
        <v>3.0</v>
      </c>
      <c r="E1871" s="14" t="s">
        <v>31</v>
      </c>
      <c r="F1871" s="15" t="str">
        <f>IFERROR(__xludf.DUMMYFUNCTION("GOOGLETRANSLATE(B1871,""en"",""ar"")"),"نفسها")</f>
        <v>نفسها</v>
      </c>
    </row>
    <row r="1872" ht="14.25" customHeight="1">
      <c r="A1872" s="5"/>
      <c r="B1872" s="2" t="s">
        <v>2015</v>
      </c>
      <c r="C1872" s="2">
        <v>3.0</v>
      </c>
      <c r="E1872" s="14" t="s">
        <v>95</v>
      </c>
      <c r="F1872" s="15" t="str">
        <f>IFERROR(__xludf.DUMMYFUNCTION("GOOGLETRANSLATE(B1872,""en"",""ar"")"),"يخفي")</f>
        <v>يخفي</v>
      </c>
    </row>
    <row r="1873" ht="14.25" customHeight="1">
      <c r="A1873" s="5"/>
      <c r="B1873" s="2" t="s">
        <v>2016</v>
      </c>
      <c r="C1873" s="2">
        <v>3.0</v>
      </c>
      <c r="E1873" s="14" t="s">
        <v>80</v>
      </c>
      <c r="F1873" s="15" t="str">
        <f>IFERROR(__xludf.DUMMYFUNCTION("GOOGLETRANSLATE(B1873,""en"",""ar"")"),"مؤرخ")</f>
        <v>مؤرخ</v>
      </c>
    </row>
    <row r="1874" ht="14.25" customHeight="1">
      <c r="A1874" s="5"/>
      <c r="B1874" s="2" t="s">
        <v>2017</v>
      </c>
      <c r="C1874" s="2">
        <v>3.0</v>
      </c>
      <c r="E1874" s="14" t="s">
        <v>80</v>
      </c>
      <c r="F1874" s="15" t="str">
        <f>IFERROR(__xludf.DUMMYFUNCTION("GOOGLETRANSLATE(B1874,""en"",""ar"")"),"مستشفى")</f>
        <v>مستشفى</v>
      </c>
    </row>
    <row r="1875" ht="14.25" customHeight="1">
      <c r="A1875" s="5"/>
      <c r="B1875" s="2" t="s">
        <v>2018</v>
      </c>
      <c r="C1875" s="2">
        <v>3.0</v>
      </c>
      <c r="E1875" s="14" t="s">
        <v>337</v>
      </c>
      <c r="F1875" s="15" t="str">
        <f>IFERROR(__xludf.DUMMYFUNCTION("GOOGLETRANSLATE(B1875,""en"",""ar"")"),"سوف")</f>
        <v>سوف</v>
      </c>
    </row>
    <row r="1876" ht="14.25" customHeight="1">
      <c r="A1876" s="5"/>
      <c r="B1876" s="2" t="s">
        <v>2019</v>
      </c>
      <c r="C1876" s="2">
        <v>3.0</v>
      </c>
      <c r="E1876" s="14" t="s">
        <v>80</v>
      </c>
      <c r="F1876" s="15" t="str">
        <f>IFERROR(__xludf.DUMMYFUNCTION("GOOGLETRANSLATE(B1876,""en"",""ar"")"),"إصابة")</f>
        <v>إصابة</v>
      </c>
    </row>
    <row r="1877" ht="14.25" customHeight="1">
      <c r="A1877" s="5"/>
      <c r="B1877" s="2" t="s">
        <v>2020</v>
      </c>
      <c r="C1877" s="2">
        <v>3.0</v>
      </c>
      <c r="E1877" s="14" t="s">
        <v>80</v>
      </c>
      <c r="F1877" s="15" t="str">
        <f>IFERROR(__xludf.DUMMYFUNCTION("GOOGLETRANSLATE(B1877,""en"",""ar"")"),"تعليمات")</f>
        <v>تعليمات</v>
      </c>
    </row>
    <row r="1878" ht="14.25" customHeight="1">
      <c r="A1878" s="5"/>
      <c r="B1878" s="2" t="s">
        <v>2021</v>
      </c>
      <c r="C1878" s="2">
        <v>3.0</v>
      </c>
      <c r="E1878" s="14" t="s">
        <v>13</v>
      </c>
      <c r="F1878" s="15" t="str">
        <f>IFERROR(__xludf.DUMMYFUNCTION("GOOGLETRANSLATE(B1878,""en"",""ar"")"),"التحقيق")</f>
        <v>التحقيق</v>
      </c>
    </row>
    <row r="1879" ht="14.25" customHeight="1">
      <c r="A1879" s="5"/>
      <c r="B1879" s="2" t="s">
        <v>2022</v>
      </c>
      <c r="C1879" s="2">
        <v>3.0</v>
      </c>
      <c r="E1879" s="14" t="s">
        <v>120</v>
      </c>
      <c r="F1879" s="15" t="str">
        <f>IFERROR(__xludf.DUMMYFUNCTION("GOOGLETRANSLATE(B1879,""en"",""ar"")"),"السترة")</f>
        <v>السترة</v>
      </c>
    </row>
    <row r="1880" ht="14.25" customHeight="1">
      <c r="A1880" s="5"/>
      <c r="B1880" s="2" t="s">
        <v>2023</v>
      </c>
      <c r="C1880" s="2">
        <v>3.0</v>
      </c>
      <c r="E1880" s="14" t="s">
        <v>113</v>
      </c>
      <c r="F1880" s="15" t="str">
        <f>IFERROR(__xludf.DUMMYFUNCTION("GOOGLETRANSLATE(B1880,""en"",""ar"")"),"سعيد الحظ")</f>
        <v>سعيد الحظ</v>
      </c>
    </row>
    <row r="1881" ht="14.25" customHeight="1">
      <c r="A1881" s="5"/>
      <c r="B1881" s="2" t="s">
        <v>2024</v>
      </c>
      <c r="C1881" s="2">
        <v>3.0</v>
      </c>
      <c r="E1881" s="14" t="s">
        <v>120</v>
      </c>
      <c r="F1881" s="15" t="str">
        <f>IFERROR(__xludf.DUMMYFUNCTION("GOOGLETRANSLATE(B1881,""en"",""ar"")"),"غداء")</f>
        <v>غداء</v>
      </c>
    </row>
    <row r="1882" ht="14.25" customHeight="1">
      <c r="A1882" s="5"/>
      <c r="B1882" s="2" t="s">
        <v>2025</v>
      </c>
      <c r="C1882" s="2">
        <v>3.0</v>
      </c>
      <c r="E1882" s="14" t="s">
        <v>80</v>
      </c>
      <c r="F1882" s="15" t="str">
        <f>IFERROR(__xludf.DUMMYFUNCTION("GOOGLETRANSLATE(B1882,""en"",""ar"")"),"اعمال صيانة")</f>
        <v>اعمال صيانة</v>
      </c>
    </row>
    <row r="1883" ht="14.25" customHeight="1">
      <c r="A1883" s="5"/>
      <c r="B1883" s="2" t="s">
        <v>2026</v>
      </c>
      <c r="C1883" s="2">
        <v>3.0</v>
      </c>
      <c r="E1883" s="14" t="s">
        <v>80</v>
      </c>
      <c r="F1883" s="15" t="str">
        <f>IFERROR(__xludf.DUMMYFUNCTION("GOOGLETRANSLATE(B1883,""en"",""ar"")"),"الصانع")</f>
        <v>الصانع</v>
      </c>
    </row>
    <row r="1884" ht="14.25" customHeight="1">
      <c r="A1884" s="5"/>
      <c r="B1884" s="2" t="s">
        <v>2027</v>
      </c>
      <c r="C1884" s="2">
        <v>3.0</v>
      </c>
      <c r="E1884" s="14" t="s">
        <v>80</v>
      </c>
      <c r="F1884" s="15" t="str">
        <f>IFERROR(__xludf.DUMMYFUNCTION("GOOGLETRANSLATE(B1884,""en"",""ar"")"),"وجبة")</f>
        <v>وجبة</v>
      </c>
    </row>
    <row r="1885" ht="14.25" customHeight="1">
      <c r="A1885" s="5"/>
      <c r="B1885" s="2" t="s">
        <v>2028</v>
      </c>
      <c r="C1885" s="2">
        <v>3.0</v>
      </c>
      <c r="E1885" s="14" t="s">
        <v>95</v>
      </c>
      <c r="F1885" s="15" t="str">
        <f>IFERROR(__xludf.DUMMYFUNCTION("GOOGLETRANSLATE(B1885,""en"",""ar"")"),"يغيب")</f>
        <v>يغيب</v>
      </c>
    </row>
    <row r="1886" ht="14.25" customHeight="1">
      <c r="A1886" s="5"/>
      <c r="B1886" s="2" t="s">
        <v>2029</v>
      </c>
      <c r="C1886" s="2">
        <v>3.0</v>
      </c>
      <c r="E1886" s="14" t="s">
        <v>120</v>
      </c>
      <c r="F1886" s="15" t="str">
        <f>IFERROR(__xludf.DUMMYFUNCTION("GOOGLETRANSLATE(B1886,""en"",""ar"")"),"مراقب")</f>
        <v>مراقب</v>
      </c>
    </row>
    <row r="1887" ht="14.25" customHeight="1">
      <c r="A1887" s="5"/>
      <c r="B1887" s="2" t="s">
        <v>2030</v>
      </c>
      <c r="C1887" s="2">
        <v>3.0</v>
      </c>
      <c r="E1887" s="14" t="s">
        <v>120</v>
      </c>
      <c r="F1887" s="15" t="str">
        <f>IFERROR(__xludf.DUMMYFUNCTION("GOOGLETRANSLATE(B1887,""en"",""ar"")"),"الرهن العقاري")</f>
        <v>الرهن العقاري</v>
      </c>
    </row>
    <row r="1888" ht="14.25" customHeight="1">
      <c r="A1888" s="5"/>
      <c r="B1888" s="2" t="s">
        <v>2031</v>
      </c>
      <c r="C1888" s="2">
        <v>3.0</v>
      </c>
      <c r="E1888" s="14" t="s">
        <v>13</v>
      </c>
      <c r="F1888" s="15" t="str">
        <f>IFERROR(__xludf.DUMMYFUNCTION("GOOGLETRANSLATE(B1888,""en"",""ar"")"),"التفاوض")</f>
        <v>التفاوض</v>
      </c>
    </row>
    <row r="1889" ht="14.25" customHeight="1">
      <c r="A1889" s="5"/>
      <c r="B1889" s="2" t="s">
        <v>2032</v>
      </c>
      <c r="C1889" s="2">
        <v>3.0</v>
      </c>
      <c r="E1889" s="14" t="s">
        <v>120</v>
      </c>
      <c r="F1889" s="15" t="str">
        <f>IFERROR(__xludf.DUMMYFUNCTION("GOOGLETRANSLATE(B1889,""en"",""ar"")"),"ممرض")</f>
        <v>ممرض</v>
      </c>
    </row>
    <row r="1890" ht="14.25" customHeight="1">
      <c r="A1890" s="5"/>
      <c r="B1890" s="2" t="s">
        <v>2033</v>
      </c>
      <c r="C1890" s="2">
        <v>3.0</v>
      </c>
      <c r="E1890" s="14" t="s">
        <v>1968</v>
      </c>
      <c r="F1890" s="15" t="str">
        <f>IFERROR(__xludf.DUMMYFUNCTION("GOOGLETRANSLATE(B1890,""en"",""ar"")"),"سرعة")</f>
        <v>سرعة</v>
      </c>
    </row>
    <row r="1891" ht="14.25" customHeight="1">
      <c r="A1891" s="5"/>
      <c r="B1891" s="2" t="s">
        <v>2034</v>
      </c>
      <c r="C1891" s="2">
        <v>3.0</v>
      </c>
      <c r="E1891" s="14" t="s">
        <v>120</v>
      </c>
      <c r="F1891" s="15" t="str">
        <f>IFERROR(__xludf.DUMMYFUNCTION("GOOGLETRANSLATE(B1891,""en"",""ar"")"),"هلع")</f>
        <v>هلع</v>
      </c>
    </row>
    <row r="1892" ht="14.25" customHeight="1">
      <c r="A1892" s="5"/>
      <c r="B1892" s="2" t="s">
        <v>2035</v>
      </c>
      <c r="C1892" s="2">
        <v>3.0</v>
      </c>
      <c r="E1892" s="14" t="s">
        <v>129</v>
      </c>
      <c r="F1892" s="15" t="str">
        <f>IFERROR(__xludf.DUMMYFUNCTION("GOOGLETRANSLATE(B1892,""en"",""ar"")"),"قمة")</f>
        <v>قمة</v>
      </c>
    </row>
    <row r="1893" ht="14.25" customHeight="1">
      <c r="A1893" s="5"/>
      <c r="B1893" s="2" t="s">
        <v>2036</v>
      </c>
      <c r="C1893" s="2">
        <v>3.0</v>
      </c>
      <c r="E1893" s="14" t="s">
        <v>80</v>
      </c>
      <c r="F1893" s="15" t="str">
        <f>IFERROR(__xludf.DUMMYFUNCTION("GOOGLETRANSLATE(B1893,""en"",""ar"")"),"المعرفة")</f>
        <v>المعرفة</v>
      </c>
    </row>
    <row r="1894" ht="14.25" customHeight="1">
      <c r="A1894" s="5"/>
      <c r="B1894" s="2" t="s">
        <v>2037</v>
      </c>
      <c r="C1894" s="2">
        <v>3.0</v>
      </c>
      <c r="E1894" s="14" t="s">
        <v>95</v>
      </c>
      <c r="F1894" s="15" t="str">
        <f>IFERROR(__xludf.DUMMYFUNCTION("GOOGLETRANSLATE(B1894,""en"",""ar"")"),"يسمح")</f>
        <v>يسمح</v>
      </c>
    </row>
    <row r="1895" ht="14.25" customHeight="1">
      <c r="A1895" s="5"/>
      <c r="B1895" s="2" t="s">
        <v>2038</v>
      </c>
      <c r="C1895" s="2">
        <v>3.0</v>
      </c>
      <c r="E1895" s="14" t="s">
        <v>80</v>
      </c>
      <c r="F1895" s="15" t="str">
        <f>IFERROR(__xludf.DUMMYFUNCTION("GOOGLETRANSLATE(B1895,""en"",""ar"")"),"فطيرة")</f>
        <v>فطيرة</v>
      </c>
    </row>
    <row r="1896" ht="14.25" customHeight="1">
      <c r="A1896" s="5"/>
      <c r="B1896" s="2" t="s">
        <v>2039</v>
      </c>
      <c r="C1896" s="2">
        <v>3.0</v>
      </c>
      <c r="E1896" s="14" t="s">
        <v>84</v>
      </c>
      <c r="F1896" s="15" t="str">
        <f>IFERROR(__xludf.DUMMYFUNCTION("GOOGLETRANSLATE(B1896,""en"",""ar"")"),"طائرة")</f>
        <v>طائرة</v>
      </c>
    </row>
    <row r="1897" ht="14.25" customHeight="1">
      <c r="A1897" s="5"/>
      <c r="B1897" s="2" t="s">
        <v>2040</v>
      </c>
      <c r="C1897" s="2">
        <v>3.0</v>
      </c>
      <c r="E1897" s="14" t="s">
        <v>80</v>
      </c>
      <c r="F1897" s="15" t="str">
        <f>IFERROR(__xludf.DUMMYFUNCTION("GOOGLETRANSLATE(B1897,""en"",""ar"")"),"قصيدة")</f>
        <v>قصيدة</v>
      </c>
    </row>
    <row r="1898" ht="14.25" customHeight="1">
      <c r="A1898" s="5"/>
      <c r="B1898" s="2" t="s">
        <v>2041</v>
      </c>
      <c r="C1898" s="2">
        <v>3.0</v>
      </c>
      <c r="E1898" s="14" t="s">
        <v>80</v>
      </c>
      <c r="F1898" s="15" t="str">
        <f>IFERROR(__xludf.DUMMYFUNCTION("GOOGLETRANSLATE(B1898,""en"",""ar"")"),"حضور")</f>
        <v>حضور</v>
      </c>
    </row>
    <row r="1899" ht="14.25" customHeight="1">
      <c r="A1899" s="5"/>
      <c r="B1899" s="2" t="s">
        <v>2042</v>
      </c>
      <c r="C1899" s="2">
        <v>3.0</v>
      </c>
      <c r="E1899" s="14" t="s">
        <v>80</v>
      </c>
      <c r="F1899" s="15" t="str">
        <f>IFERROR(__xludf.DUMMYFUNCTION("GOOGLETRANSLATE(B1899,""en"",""ar"")"),"اقتراح")</f>
        <v>اقتراح</v>
      </c>
    </row>
    <row r="1900" ht="14.25" customHeight="1">
      <c r="A1900" s="5"/>
      <c r="B1900" s="2" t="s">
        <v>2043</v>
      </c>
      <c r="C1900" s="2">
        <v>3.0</v>
      </c>
      <c r="E1900" s="14" t="s">
        <v>88</v>
      </c>
      <c r="F1900" s="15" t="str">
        <f>IFERROR(__xludf.DUMMYFUNCTION("GOOGLETRANSLATE(B1900,""en"",""ar"")"),"قدمت")</f>
        <v>قدمت</v>
      </c>
    </row>
    <row r="1901" ht="14.25" customHeight="1">
      <c r="A1901" s="5"/>
      <c r="B1901" s="2" t="s">
        <v>2044</v>
      </c>
      <c r="C1901" s="2">
        <v>3.0</v>
      </c>
      <c r="E1901" s="14" t="s">
        <v>13</v>
      </c>
      <c r="F1901" s="15" t="str">
        <f>IFERROR(__xludf.DUMMYFUNCTION("GOOGLETRANSLATE(B1901,""en"",""ar"")"),"تأهل")</f>
        <v>تأهل</v>
      </c>
    </row>
    <row r="1902" ht="14.25" customHeight="1">
      <c r="A1902" s="5"/>
      <c r="B1902" s="2" t="s">
        <v>2045</v>
      </c>
      <c r="C1902" s="2">
        <v>3.0</v>
      </c>
      <c r="E1902" s="14" t="s">
        <v>95</v>
      </c>
      <c r="F1902" s="15" t="str">
        <f>IFERROR(__xludf.DUMMYFUNCTION("GOOGLETRANSLATE(B1902,""en"",""ar"")"),"يقتبس")</f>
        <v>يقتبس</v>
      </c>
    </row>
    <row r="1903" ht="14.25" customHeight="1">
      <c r="A1903" s="5"/>
      <c r="B1903" s="2" t="s">
        <v>2046</v>
      </c>
      <c r="C1903" s="2">
        <v>3.0</v>
      </c>
      <c r="E1903" s="14" t="s">
        <v>113</v>
      </c>
      <c r="F1903" s="15" t="str">
        <f>IFERROR(__xludf.DUMMYFUNCTION("GOOGLETRANSLATE(B1903,""en"",""ar"")"),"واقعي")</f>
        <v>واقعي</v>
      </c>
    </row>
    <row r="1904" ht="14.25" customHeight="1">
      <c r="A1904" s="5"/>
      <c r="B1904" s="2" t="s">
        <v>2047</v>
      </c>
      <c r="C1904" s="2">
        <v>3.0</v>
      </c>
      <c r="E1904" s="14" t="s">
        <v>80</v>
      </c>
      <c r="F1904" s="15" t="str">
        <f>IFERROR(__xludf.DUMMYFUNCTION("GOOGLETRANSLATE(B1904,""en"",""ar"")"),"استقبال")</f>
        <v>استقبال</v>
      </c>
    </row>
    <row r="1905" ht="14.25" customHeight="1">
      <c r="A1905" s="5"/>
      <c r="B1905" s="2" t="s">
        <v>2048</v>
      </c>
      <c r="C1905" s="2">
        <v>3.0</v>
      </c>
      <c r="E1905" s="14" t="s">
        <v>95</v>
      </c>
      <c r="F1905" s="15" t="str">
        <f>IFERROR(__xludf.DUMMYFUNCTION("GOOGLETRANSLATE(B1905,""en"",""ar"")"),"استعادة")</f>
        <v>استعادة</v>
      </c>
    </row>
    <row r="1906" ht="14.25" customHeight="1">
      <c r="A1906" s="5"/>
      <c r="B1906" s="2" t="s">
        <v>2049</v>
      </c>
      <c r="C1906" s="2">
        <v>3.0</v>
      </c>
      <c r="E1906" s="14" t="s">
        <v>80</v>
      </c>
      <c r="F1906" s="15" t="str">
        <f>IFERROR(__xludf.DUMMYFUNCTION("GOOGLETRANSLATE(B1906,""en"",""ar"")"),"إستبدال")</f>
        <v>إستبدال</v>
      </c>
    </row>
    <row r="1907" ht="14.25" customHeight="1">
      <c r="A1907" s="5"/>
      <c r="B1907" s="2" t="s">
        <v>2050</v>
      </c>
      <c r="C1907" s="2">
        <v>3.0</v>
      </c>
      <c r="E1907" s="14" t="s">
        <v>95</v>
      </c>
      <c r="F1907" s="15" t="str">
        <f>IFERROR(__xludf.DUMMYFUNCTION("GOOGLETRANSLATE(B1907,""en"",""ar"")"),"حل")</f>
        <v>حل</v>
      </c>
    </row>
    <row r="1908" ht="14.25" customHeight="1">
      <c r="A1908" s="5"/>
      <c r="B1908" s="2" t="s">
        <v>2051</v>
      </c>
      <c r="C1908" s="2">
        <v>3.0</v>
      </c>
      <c r="E1908" s="14" t="s">
        <v>13</v>
      </c>
      <c r="F1908" s="15" t="str">
        <f>IFERROR(__xludf.DUMMYFUNCTION("GOOGLETRANSLATE(B1908,""en"",""ar"")"),"التقاعد")</f>
        <v>التقاعد</v>
      </c>
    </row>
    <row r="1909" ht="14.25" customHeight="1">
      <c r="A1909" s="5"/>
      <c r="B1909" s="2" t="s">
        <v>2052</v>
      </c>
      <c r="C1909" s="2">
        <v>3.0</v>
      </c>
      <c r="E1909" s="14" t="s">
        <v>80</v>
      </c>
      <c r="F1909" s="15" t="str">
        <f>IFERROR(__xludf.DUMMYFUNCTION("GOOGLETRANSLATE(B1909,""en"",""ar"")"),"ثورة")</f>
        <v>ثورة</v>
      </c>
    </row>
    <row r="1910" ht="14.25" customHeight="1">
      <c r="A1910" s="5"/>
      <c r="B1910" s="2" t="s">
        <v>2053</v>
      </c>
      <c r="C1910" s="2">
        <v>3.0</v>
      </c>
      <c r="E1910" s="14" t="s">
        <v>120</v>
      </c>
      <c r="F1910" s="15" t="str">
        <f>IFERROR(__xludf.DUMMYFUNCTION("GOOGLETRANSLATE(B1910,""en"",""ar"")"),"جائزة")</f>
        <v>جائزة</v>
      </c>
    </row>
    <row r="1911" ht="14.25" customHeight="1">
      <c r="A1911" s="5"/>
      <c r="B1911" s="2" t="s">
        <v>2054</v>
      </c>
      <c r="C1911" s="2">
        <v>3.0</v>
      </c>
      <c r="E1911" s="14" t="s">
        <v>13</v>
      </c>
      <c r="F1911" s="15" t="str">
        <f>IFERROR(__xludf.DUMMYFUNCTION("GOOGLETRANSLATE(B1911,""en"",""ar"")"),"يتخلص")</f>
        <v>يتخلص</v>
      </c>
    </row>
    <row r="1912" ht="14.25" customHeight="1">
      <c r="A1912" s="5"/>
      <c r="B1912" s="2" t="s">
        <v>2055</v>
      </c>
      <c r="C1912" s="2">
        <v>3.0</v>
      </c>
      <c r="E1912" s="14" t="s">
        <v>80</v>
      </c>
      <c r="F1912" s="15" t="str">
        <f>IFERROR(__xludf.DUMMYFUNCTION("GOOGLETRANSLATE(B1912,""en"",""ar"")"),"نهر")</f>
        <v>نهر</v>
      </c>
    </row>
    <row r="1913" ht="14.25" customHeight="1">
      <c r="A1913" s="5"/>
      <c r="B1913" s="2" t="s">
        <v>2056</v>
      </c>
      <c r="C1913" s="2">
        <v>3.0</v>
      </c>
      <c r="E1913" s="14" t="s">
        <v>95</v>
      </c>
      <c r="F1913" s="15" t="str">
        <f>IFERROR(__xludf.DUMMYFUNCTION("GOOGLETRANSLATE(B1913,""en"",""ar"")"),"لفافة")</f>
        <v>لفافة</v>
      </c>
    </row>
    <row r="1914" ht="14.25" customHeight="1">
      <c r="A1914" s="5"/>
      <c r="B1914" s="2" t="s">
        <v>2057</v>
      </c>
      <c r="C1914" s="2">
        <v>3.0</v>
      </c>
      <c r="E1914" s="14" t="s">
        <v>120</v>
      </c>
      <c r="F1914" s="15" t="str">
        <f>IFERROR(__xludf.DUMMYFUNCTION("GOOGLETRANSLATE(B1914,""en"",""ar"")"),"صف")</f>
        <v>صف</v>
      </c>
    </row>
    <row r="1915" ht="14.25" customHeight="1">
      <c r="A1915" s="5"/>
      <c r="B1915" s="2" t="s">
        <v>2058</v>
      </c>
      <c r="C1915" s="2">
        <v>3.0</v>
      </c>
      <c r="E1915" s="14" t="s">
        <v>120</v>
      </c>
      <c r="F1915" s="15" t="str">
        <f>IFERROR(__xludf.DUMMYFUNCTION("GOOGLETRANSLATE(B1915,""en"",""ar"")"),"ساندويتش")</f>
        <v>ساندويتش</v>
      </c>
    </row>
    <row r="1916" ht="14.25" customHeight="1">
      <c r="A1916" s="5"/>
      <c r="B1916" s="2" t="s">
        <v>2059</v>
      </c>
      <c r="C1916" s="2">
        <v>3.0</v>
      </c>
      <c r="E1916" s="14" t="s">
        <v>120</v>
      </c>
      <c r="F1916" s="15" t="str">
        <f>IFERROR(__xludf.DUMMYFUNCTION("GOOGLETRANSLATE(B1916,""en"",""ar"")"),"صدمة")</f>
        <v>صدمة</v>
      </c>
    </row>
    <row r="1917" ht="14.25" customHeight="1">
      <c r="A1917" s="5"/>
      <c r="B1917" s="2" t="s">
        <v>2060</v>
      </c>
      <c r="C1917" s="2">
        <v>3.0</v>
      </c>
      <c r="E1917" s="14" t="s">
        <v>95</v>
      </c>
      <c r="F1917" s="15" t="str">
        <f>IFERROR(__xludf.DUMMYFUNCTION("GOOGLETRANSLATE(B1917,""en"",""ar"")"),"مكتب المدير")</f>
        <v>مكتب المدير</v>
      </c>
    </row>
    <row r="1918" ht="14.25" customHeight="1">
      <c r="A1918" s="5"/>
      <c r="B1918" s="2" t="s">
        <v>2061</v>
      </c>
      <c r="C1918" s="2">
        <v>3.0</v>
      </c>
      <c r="E1918" s="14" t="s">
        <v>95</v>
      </c>
      <c r="F1918" s="15" t="str">
        <f>IFERROR(__xludf.DUMMYFUNCTION("GOOGLETRANSLATE(B1918,""en"",""ar"")"),"ينزلق")</f>
        <v>ينزلق</v>
      </c>
    </row>
    <row r="1919" ht="14.25" customHeight="1">
      <c r="A1919" s="5"/>
      <c r="B1919" s="2" t="s">
        <v>2062</v>
      </c>
      <c r="C1919" s="2">
        <v>3.0</v>
      </c>
      <c r="E1919" s="14" t="s">
        <v>80</v>
      </c>
      <c r="F1919" s="15" t="str">
        <f>IFERROR(__xludf.DUMMYFUNCTION("GOOGLETRANSLATE(B1919,""en"",""ar"")"),"ابن")</f>
        <v>ابن</v>
      </c>
    </row>
    <row r="1920" ht="14.25" customHeight="1">
      <c r="A1920" s="5"/>
      <c r="B1920" s="2" t="s">
        <v>2063</v>
      </c>
      <c r="C1920" s="2">
        <v>3.0</v>
      </c>
      <c r="E1920" s="14" t="s">
        <v>113</v>
      </c>
      <c r="F1920" s="15" t="str">
        <f>IFERROR(__xludf.DUMMYFUNCTION("GOOGLETRANSLATE(B1920,""en"",""ar"")"),"آسف")</f>
        <v>آسف</v>
      </c>
    </row>
    <row r="1921" ht="14.25" customHeight="1">
      <c r="A1921" s="5"/>
      <c r="B1921" s="2" t="s">
        <v>2064</v>
      </c>
      <c r="C1921" s="2">
        <v>3.0</v>
      </c>
      <c r="E1921" s="14" t="s">
        <v>406</v>
      </c>
      <c r="F1921" s="15" t="str">
        <f>IFERROR(__xludf.DUMMYFUNCTION("GOOGLETRANSLATE(B1921,""en"",""ar"")"),"إضافي")</f>
        <v>إضافي</v>
      </c>
    </row>
    <row r="1922" ht="14.25" customHeight="1">
      <c r="A1922" s="5"/>
      <c r="B1922" s="2" t="s">
        <v>2065</v>
      </c>
      <c r="C1922" s="2">
        <v>3.0</v>
      </c>
      <c r="E1922" s="14" t="s">
        <v>80</v>
      </c>
      <c r="F1922" s="15" t="str">
        <f>IFERROR(__xludf.DUMMYFUNCTION("GOOGLETRANSLATE(B1922,""en"",""ar"")"),"خطاب")</f>
        <v>خطاب</v>
      </c>
    </row>
    <row r="1923" ht="14.25" customHeight="1">
      <c r="A1923" s="5"/>
      <c r="B1923" s="2" t="s">
        <v>2066</v>
      </c>
      <c r="C1923" s="2">
        <v>3.0</v>
      </c>
      <c r="E1923" s="14" t="s">
        <v>120</v>
      </c>
      <c r="F1923" s="15" t="str">
        <f>IFERROR(__xludf.DUMMYFUNCTION("GOOGLETRANSLATE(B1923,""en"",""ar"")"),"رغم")</f>
        <v>رغم</v>
      </c>
    </row>
    <row r="1924" ht="14.25" customHeight="1">
      <c r="A1924" s="5"/>
      <c r="B1924" s="2" t="s">
        <v>2067</v>
      </c>
      <c r="C1924" s="2">
        <v>3.0</v>
      </c>
      <c r="E1924" s="14" t="s">
        <v>120</v>
      </c>
      <c r="F1924" s="15" t="str">
        <f>IFERROR(__xludf.DUMMYFUNCTION("GOOGLETRANSLATE(B1924,""en"",""ar"")"),"رذاذ")</f>
        <v>رذاذ</v>
      </c>
    </row>
    <row r="1925" ht="14.25" customHeight="1">
      <c r="A1925" s="5"/>
      <c r="B1925" s="2" t="s">
        <v>2068</v>
      </c>
      <c r="C1925" s="2">
        <v>3.0</v>
      </c>
      <c r="E1925" s="14" t="s">
        <v>120</v>
      </c>
      <c r="F1925" s="15" t="str">
        <f>IFERROR(__xludf.DUMMYFUNCTION("GOOGLETRANSLATE(B1925,""en"",""ar"")"),"مفاجئة")</f>
        <v>مفاجئة</v>
      </c>
    </row>
    <row r="1926" ht="14.25" customHeight="1">
      <c r="A1926" s="5"/>
      <c r="B1926" s="2" t="s">
        <v>2069</v>
      </c>
      <c r="C1926" s="2">
        <v>3.0</v>
      </c>
      <c r="E1926" s="14" t="s">
        <v>325</v>
      </c>
      <c r="F1926" s="15" t="str">
        <f>IFERROR(__xludf.DUMMYFUNCTION("GOOGLETRANSLATE(B1926,""en"",""ar"")"),"مشتبه فيه")</f>
        <v>مشتبه فيه</v>
      </c>
    </row>
    <row r="1927" ht="14.25" customHeight="1">
      <c r="A1927" s="5"/>
      <c r="B1927" s="2" t="s">
        <v>2070</v>
      </c>
      <c r="C1927" s="2">
        <v>3.0</v>
      </c>
      <c r="E1927" s="14" t="s">
        <v>236</v>
      </c>
      <c r="F1927" s="15" t="str">
        <f>IFERROR(__xludf.DUMMYFUNCTION("GOOGLETRANSLATE(B1927,""en"",""ar"")"),"حلو")</f>
        <v>حلو</v>
      </c>
    </row>
    <row r="1928" ht="14.25" customHeight="1">
      <c r="A1928" s="5"/>
      <c r="B1928" s="2" t="s">
        <v>2071</v>
      </c>
      <c r="C1928" s="2">
        <v>3.0</v>
      </c>
      <c r="E1928" s="14" t="s">
        <v>95</v>
      </c>
      <c r="F1928" s="15" t="str">
        <f>IFERROR(__xludf.DUMMYFUNCTION("GOOGLETRANSLATE(B1928,""en"",""ar"")"),"تأرجح")</f>
        <v>تأرجح</v>
      </c>
    </row>
    <row r="1929" ht="14.25" customHeight="1">
      <c r="A1929" s="5"/>
      <c r="B1929" s="2" t="s">
        <v>2072</v>
      </c>
      <c r="C1929" s="2">
        <v>3.0</v>
      </c>
      <c r="E1929" s="14" t="s">
        <v>80</v>
      </c>
      <c r="F1929" s="15" t="str">
        <f>IFERROR(__xludf.DUMMYFUNCTION("GOOGLETRANSLATE(B1929,""en"",""ar"")"),"شاي")</f>
        <v>شاي</v>
      </c>
    </row>
    <row r="1930" ht="14.25" customHeight="1">
      <c r="A1930" s="5"/>
      <c r="B1930" s="2" t="s">
        <v>2073</v>
      </c>
      <c r="C1930" s="2">
        <v>3.0</v>
      </c>
      <c r="E1930" s="14" t="s">
        <v>120</v>
      </c>
      <c r="F1930" s="15" t="str">
        <f>IFERROR(__xludf.DUMMYFUNCTION("GOOGLETRANSLATE(B1930,""en"",""ar"")"),"حتى")</f>
        <v>حتى</v>
      </c>
    </row>
    <row r="1931" ht="14.25" customHeight="1">
      <c r="A1931" s="5"/>
      <c r="B1931" s="2" t="s">
        <v>2074</v>
      </c>
      <c r="C1931" s="2">
        <v>3.0</v>
      </c>
      <c r="E1931" s="14" t="s">
        <v>120</v>
      </c>
      <c r="F1931" s="15" t="str">
        <f>IFERROR(__xludf.DUMMYFUNCTION("GOOGLETRANSLATE(B1931,""en"",""ar"")"),"انتقال")</f>
        <v>انتقال</v>
      </c>
    </row>
    <row r="1932" ht="14.25" customHeight="1">
      <c r="A1932" s="5"/>
      <c r="B1932" s="2" t="s">
        <v>2075</v>
      </c>
      <c r="C1932" s="2">
        <v>3.0</v>
      </c>
      <c r="E1932" s="14" t="s">
        <v>95</v>
      </c>
      <c r="F1932" s="15" t="str">
        <f>IFERROR(__xludf.DUMMYFUNCTION("GOOGLETRANSLATE(B1932,""en"",""ar"")"),"تحريف")</f>
        <v>تحريف</v>
      </c>
    </row>
    <row r="1933" ht="14.25" customHeight="1">
      <c r="A1933" s="5"/>
      <c r="B1933" s="2" t="s">
        <v>2076</v>
      </c>
      <c r="C1933" s="2">
        <v>3.0</v>
      </c>
      <c r="E1933" s="14" t="s">
        <v>113</v>
      </c>
      <c r="F1933" s="15" t="str">
        <f>IFERROR(__xludf.DUMMYFUNCTION("GOOGLETRANSLATE(B1933,""en"",""ar"")"),"البشع")</f>
        <v>البشع</v>
      </c>
    </row>
    <row r="1934" ht="14.25" customHeight="1">
      <c r="A1934" s="5"/>
      <c r="B1934" s="2" t="s">
        <v>2077</v>
      </c>
      <c r="C1934" s="2">
        <v>3.0</v>
      </c>
      <c r="E1934" s="14" t="s">
        <v>113</v>
      </c>
      <c r="F1934" s="15" t="str">
        <f>IFERROR(__xludf.DUMMYFUNCTION("GOOGLETRANSLATE(B1934,""en"",""ar"")"),"من غير المرجح")</f>
        <v>من غير المرجح</v>
      </c>
    </row>
    <row r="1935" ht="14.25" customHeight="1">
      <c r="A1935" s="5"/>
      <c r="B1935" s="2" t="s">
        <v>2078</v>
      </c>
      <c r="C1935" s="2">
        <v>3.0</v>
      </c>
      <c r="E1935" s="14" t="s">
        <v>236</v>
      </c>
      <c r="F1935" s="15" t="str">
        <f>IFERROR(__xludf.DUMMYFUNCTION("GOOGLETRANSLATE(B1935,""en"",""ar"")"),"الطابق العلوي")</f>
        <v>الطابق العلوي</v>
      </c>
    </row>
    <row r="1936" ht="14.25" customHeight="1">
      <c r="A1936" s="5"/>
      <c r="B1936" s="2" t="s">
        <v>2079</v>
      </c>
      <c r="C1936" s="2">
        <v>3.0</v>
      </c>
      <c r="E1936" s="14" t="s">
        <v>236</v>
      </c>
      <c r="F1936" s="15" t="str">
        <f>IFERROR(__xludf.DUMMYFUNCTION("GOOGLETRANSLATE(B1936,""en"",""ar"")"),"معتاد")</f>
        <v>معتاد</v>
      </c>
    </row>
    <row r="1937" ht="14.25" customHeight="1">
      <c r="A1937" s="5"/>
      <c r="B1937" s="2" t="s">
        <v>2080</v>
      </c>
      <c r="C1937" s="2">
        <v>3.0</v>
      </c>
      <c r="E1937" s="14" t="s">
        <v>80</v>
      </c>
      <c r="F1937" s="15" t="str">
        <f>IFERROR(__xludf.DUMMYFUNCTION("GOOGLETRANSLATE(B1937,""en"",""ar"")"),"قرية")</f>
        <v>قرية</v>
      </c>
    </row>
    <row r="1938" ht="14.25" customHeight="1">
      <c r="A1938" s="5"/>
      <c r="B1938" s="2" t="s">
        <v>2081</v>
      </c>
      <c r="C1938" s="2">
        <v>3.0</v>
      </c>
      <c r="E1938" s="14" t="s">
        <v>80</v>
      </c>
      <c r="F1938" s="15" t="str">
        <f>IFERROR(__xludf.DUMMYFUNCTION("GOOGLETRANSLATE(B1938,""en"",""ar"")"),"تحذير")</f>
        <v>تحذير</v>
      </c>
    </row>
    <row r="1939" ht="14.25" customHeight="1">
      <c r="A1939" s="5"/>
      <c r="B1939" s="2" t="s">
        <v>2082</v>
      </c>
      <c r="C1939" s="2">
        <v>3.0</v>
      </c>
      <c r="E1939" s="14" t="s">
        <v>120</v>
      </c>
      <c r="F1939" s="15" t="str">
        <f>IFERROR(__xludf.DUMMYFUNCTION("GOOGLETRANSLATE(B1939,""en"",""ar"")"),"عطلة نهاية الاسبوع")</f>
        <v>عطلة نهاية الاسبوع</v>
      </c>
    </row>
    <row r="1940" ht="14.25" customHeight="1">
      <c r="A1940" s="5"/>
      <c r="B1940" s="2" t="s">
        <v>2083</v>
      </c>
      <c r="C1940" s="2">
        <v>3.0</v>
      </c>
      <c r="E1940" s="14" t="s">
        <v>13</v>
      </c>
      <c r="F1940" s="15" t="str">
        <f>IFERROR(__xludf.DUMMYFUNCTION("GOOGLETRANSLATE(B1940,""en"",""ar"")"),"وزن")</f>
        <v>وزن</v>
      </c>
    </row>
    <row r="1941" ht="14.25" customHeight="1">
      <c r="A1941" s="5"/>
      <c r="B1941" s="2" t="s">
        <v>2084</v>
      </c>
      <c r="C1941" s="2">
        <v>3.0</v>
      </c>
      <c r="E1941" s="14" t="s">
        <v>2085</v>
      </c>
      <c r="F1941" s="15" t="str">
        <f>IFERROR(__xludf.DUMMYFUNCTION("GOOGLETRANSLATE(B1941,""en"",""ar"")"),"أهلا بك")</f>
        <v>أهلا بك</v>
      </c>
    </row>
    <row r="1942" ht="14.25" customHeight="1">
      <c r="A1942" s="5"/>
      <c r="B1942" s="2" t="s">
        <v>2086</v>
      </c>
      <c r="C1942" s="2">
        <v>3.0</v>
      </c>
      <c r="E1942" s="14" t="s">
        <v>80</v>
      </c>
      <c r="F1942" s="15" t="str">
        <f>IFERROR(__xludf.DUMMYFUNCTION("GOOGLETRANSLATE(B1942,""en"",""ar"")"),"الفائز")</f>
        <v>الفائز</v>
      </c>
    </row>
    <row r="1943" ht="14.25" customHeight="1">
      <c r="A1943" s="5"/>
      <c r="B1943" s="2" t="s">
        <v>2087</v>
      </c>
      <c r="C1943" s="2">
        <v>3.0</v>
      </c>
      <c r="E1943" s="14" t="s">
        <v>80</v>
      </c>
      <c r="F1943" s="15" t="str">
        <f>IFERROR(__xludf.DUMMYFUNCTION("GOOGLETRANSLATE(B1943,""en"",""ar"")"),"عامل")</f>
        <v>عامل</v>
      </c>
    </row>
    <row r="1944" ht="14.25" customHeight="1">
      <c r="A1944" s="5"/>
      <c r="B1944" s="2" t="s">
        <v>2088</v>
      </c>
      <c r="C1944" s="2">
        <v>3.0</v>
      </c>
      <c r="E1944" s="14" t="s">
        <v>80</v>
      </c>
      <c r="F1944" s="15" t="str">
        <f>IFERROR(__xludf.DUMMYFUNCTION("GOOGLETRANSLATE(B1944,""en"",""ar"")"),"كاتب")</f>
        <v>كاتب</v>
      </c>
    </row>
    <row r="1945" ht="14.25" customHeight="1">
      <c r="A1945" s="5"/>
      <c r="B1945" s="2" t="s">
        <v>2089</v>
      </c>
      <c r="C1945" s="2">
        <v>3.0</v>
      </c>
      <c r="E1945" s="14" t="s">
        <v>120</v>
      </c>
      <c r="F1945" s="15" t="str">
        <f>IFERROR(__xludf.DUMMYFUNCTION("GOOGLETRANSLATE(B1945,""en"",""ar"")"),"حديقة منزل")</f>
        <v>حديقة منزل</v>
      </c>
    </row>
    <row r="1946" ht="14.25" customHeight="1">
      <c r="A1946" s="5"/>
      <c r="B1946" s="2" t="s">
        <v>2090</v>
      </c>
      <c r="C1946" s="2">
        <v>2.0</v>
      </c>
      <c r="E1946" s="14" t="s">
        <v>315</v>
      </c>
      <c r="F1946" s="15" t="str">
        <f>IFERROR(__xludf.DUMMYFUNCTION("GOOGLETRANSLATE(B1946,""en"",""ar"")"),"خارج البلاد")</f>
        <v>خارج البلاد</v>
      </c>
    </row>
    <row r="1947" ht="14.25" customHeight="1">
      <c r="A1947" s="5"/>
      <c r="B1947" s="2" t="s">
        <v>2091</v>
      </c>
      <c r="C1947" s="2">
        <v>2.0</v>
      </c>
      <c r="E1947" s="14" t="s">
        <v>120</v>
      </c>
      <c r="F1947" s="15" t="str">
        <f>IFERROR(__xludf.DUMMYFUNCTION("GOOGLETRANSLATE(B1947,""en"",""ar"")"),"إنذار")</f>
        <v>إنذار</v>
      </c>
    </row>
    <row r="1948" ht="14.25" customHeight="1">
      <c r="A1948" s="5"/>
      <c r="B1948" s="2" t="s">
        <v>2092</v>
      </c>
      <c r="C1948" s="2">
        <v>2.0</v>
      </c>
      <c r="E1948" s="14" t="s">
        <v>113</v>
      </c>
      <c r="F1948" s="15" t="str">
        <f>IFERROR(__xludf.DUMMYFUNCTION("GOOGLETRANSLATE(B1948,""en"",""ar"")"),"قلق")</f>
        <v>قلق</v>
      </c>
    </row>
    <row r="1949" ht="14.25" customHeight="1">
      <c r="A1949" s="5"/>
      <c r="B1949" s="2" t="s">
        <v>2093</v>
      </c>
      <c r="C1949" s="2">
        <v>2.0</v>
      </c>
      <c r="E1949" s="14" t="s">
        <v>13</v>
      </c>
      <c r="F1949" s="15" t="str">
        <f>IFERROR(__xludf.DUMMYFUNCTION("GOOGLETRANSLATE(B1949,""en"",""ar"")"),"يصل")</f>
        <v>يصل</v>
      </c>
    </row>
    <row r="1950" ht="14.25" customHeight="1">
      <c r="A1950" s="5"/>
      <c r="B1950" s="2" t="s">
        <v>2094</v>
      </c>
      <c r="C1950" s="2">
        <v>2.0</v>
      </c>
      <c r="E1950" s="14" t="s">
        <v>80</v>
      </c>
      <c r="F1950" s="15" t="str">
        <f>IFERROR(__xludf.DUMMYFUNCTION("GOOGLETRANSLATE(B1950,""en"",""ar"")"),"مساعدة")</f>
        <v>مساعدة</v>
      </c>
    </row>
    <row r="1951" ht="14.25" customHeight="1">
      <c r="A1951" s="5"/>
      <c r="B1951" s="2" t="s">
        <v>2095</v>
      </c>
      <c r="C1951" s="2">
        <v>2.0</v>
      </c>
      <c r="E1951" s="14" t="s">
        <v>13</v>
      </c>
      <c r="F1951" s="15" t="str">
        <f>IFERROR(__xludf.DUMMYFUNCTION("GOOGLETRANSLATE(B1951,""en"",""ar"")"),"يربط")</f>
        <v>يربط</v>
      </c>
    </row>
    <row r="1952" ht="14.25" customHeight="1">
      <c r="A1952" s="5"/>
      <c r="B1952" s="2" t="s">
        <v>2096</v>
      </c>
      <c r="C1952" s="2">
        <v>2.0</v>
      </c>
      <c r="E1952" s="14" t="s">
        <v>13</v>
      </c>
      <c r="F1952" s="15" t="str">
        <f>IFERROR(__xludf.DUMMYFUNCTION("GOOGLETRANSLATE(B1952,""en"",""ar"")"),"تصرف")</f>
        <v>تصرف</v>
      </c>
    </row>
    <row r="1953" ht="14.25" customHeight="1">
      <c r="A1953" s="5"/>
      <c r="B1953" s="2" t="s">
        <v>2097</v>
      </c>
      <c r="C1953" s="2">
        <v>2.0</v>
      </c>
      <c r="E1953" s="14" t="s">
        <v>120</v>
      </c>
      <c r="F1953" s="15" t="str">
        <f>IFERROR(__xludf.DUMMYFUNCTION("GOOGLETRANSLATE(B1953,""en"",""ar"")"),"يلوي")</f>
        <v>يلوي</v>
      </c>
    </row>
    <row r="1954" ht="14.25" customHeight="1">
      <c r="A1954" s="5"/>
      <c r="B1954" s="2" t="s">
        <v>2098</v>
      </c>
      <c r="C1954" s="2">
        <v>2.0</v>
      </c>
      <c r="E1954" s="14" t="s">
        <v>120</v>
      </c>
      <c r="F1954" s="15" t="str">
        <f>IFERROR(__xludf.DUMMYFUNCTION("GOOGLETRANSLATE(B1954,""en"",""ar"")"),"دراجة")</f>
        <v>دراجة</v>
      </c>
    </row>
    <row r="1955" ht="14.25" customHeight="1">
      <c r="A1955" s="5"/>
      <c r="B1955" s="2" t="s">
        <v>2099</v>
      </c>
      <c r="C1955" s="2">
        <v>2.0</v>
      </c>
      <c r="E1955" s="14" t="s">
        <v>120</v>
      </c>
      <c r="F1955" s="15" t="str">
        <f>IFERROR(__xludf.DUMMYFUNCTION("GOOGLETRANSLATE(B1955,""en"",""ar"")"),"عضة")</f>
        <v>عضة</v>
      </c>
    </row>
    <row r="1956" ht="14.25" customHeight="1">
      <c r="A1956" s="5"/>
      <c r="B1956" s="2" t="s">
        <v>2100</v>
      </c>
      <c r="C1956" s="2">
        <v>2.0</v>
      </c>
      <c r="E1956" s="14" t="s">
        <v>837</v>
      </c>
      <c r="F1956" s="15" t="str">
        <f>IFERROR(__xludf.DUMMYFUNCTION("GOOGLETRANSLATE(B1956,""en"",""ar"")"),"أعمى")</f>
        <v>أعمى</v>
      </c>
    </row>
    <row r="1957" ht="14.25" customHeight="1">
      <c r="A1957" s="5"/>
      <c r="B1957" s="2" t="s">
        <v>2101</v>
      </c>
      <c r="C1957" s="2">
        <v>2.0</v>
      </c>
      <c r="E1957" s="14" t="s">
        <v>120</v>
      </c>
      <c r="F1957" s="15" t="str">
        <f>IFERROR(__xludf.DUMMYFUNCTION("GOOGLETRANSLATE(B1957,""en"",""ar"")"),"زجاجة")</f>
        <v>زجاجة</v>
      </c>
    </row>
    <row r="1958" ht="14.25" customHeight="1">
      <c r="A1958" s="5"/>
      <c r="B1958" s="2" t="s">
        <v>2102</v>
      </c>
      <c r="C1958" s="2">
        <v>2.0</v>
      </c>
      <c r="E1958" s="14" t="s">
        <v>406</v>
      </c>
      <c r="F1958" s="15" t="str">
        <f>IFERROR(__xludf.DUMMYFUNCTION("GOOGLETRANSLATE(B1958,""en"",""ar"")"),"شجاع")</f>
        <v>شجاع</v>
      </c>
    </row>
    <row r="1959" ht="14.25" customHeight="1">
      <c r="A1959" s="5"/>
      <c r="B1959" s="2" t="s">
        <v>2103</v>
      </c>
      <c r="C1959" s="2">
        <v>2.0</v>
      </c>
      <c r="E1959" s="14" t="s">
        <v>80</v>
      </c>
      <c r="F1959" s="15" t="str">
        <f>IFERROR(__xludf.DUMMYFUNCTION("GOOGLETRANSLATE(B1959,""en"",""ar"")"),"يتنفس")</f>
        <v>يتنفس</v>
      </c>
    </row>
    <row r="1960" ht="14.25" customHeight="1">
      <c r="A1960" s="5"/>
      <c r="B1960" s="2" t="s">
        <v>2104</v>
      </c>
      <c r="C1960" s="2">
        <v>2.0</v>
      </c>
      <c r="E1960" s="14" t="s">
        <v>43</v>
      </c>
      <c r="F1960" s="15" t="str">
        <f>IFERROR(__xludf.DUMMYFUNCTION("GOOGLETRANSLATE(B1960,""en"",""ar"")"),"موجز")</f>
        <v>موجز</v>
      </c>
    </row>
    <row r="1961" ht="14.25" customHeight="1">
      <c r="A1961" s="5"/>
      <c r="B1961" s="2" t="s">
        <v>2105</v>
      </c>
      <c r="C1961" s="2">
        <v>2.0</v>
      </c>
      <c r="E1961" s="14" t="s">
        <v>80</v>
      </c>
      <c r="F1961" s="15" t="str">
        <f>IFERROR(__xludf.DUMMYFUNCTION("GOOGLETRANSLATE(B1961,""en"",""ar"")"),"مشتر")</f>
        <v>مشتر</v>
      </c>
    </row>
    <row r="1962" ht="14.25" customHeight="1">
      <c r="A1962" s="5"/>
      <c r="B1962" s="2" t="s">
        <v>2106</v>
      </c>
      <c r="C1962" s="2">
        <v>2.0</v>
      </c>
      <c r="E1962" s="14" t="s">
        <v>120</v>
      </c>
      <c r="F1962" s="15" t="str">
        <f>IFERROR(__xludf.DUMMYFUNCTION("GOOGLETRANSLATE(B1962,""en"",""ar"")"),"كابل")</f>
        <v>كابل</v>
      </c>
    </row>
    <row r="1963" ht="14.25" customHeight="1">
      <c r="A1963" s="5"/>
      <c r="B1963" s="2" t="s">
        <v>2107</v>
      </c>
      <c r="C1963" s="2">
        <v>2.0</v>
      </c>
      <c r="E1963" s="14" t="s">
        <v>406</v>
      </c>
      <c r="F1963" s="15" t="str">
        <f>IFERROR(__xludf.DUMMYFUNCTION("GOOGLETRANSLATE(B1963,""en"",""ar"")"),"هدوء")</f>
        <v>هدوء</v>
      </c>
    </row>
    <row r="1964" ht="14.25" customHeight="1">
      <c r="A1964" s="5"/>
      <c r="B1964" s="2" t="s">
        <v>2108</v>
      </c>
      <c r="C1964" s="2">
        <v>2.0</v>
      </c>
      <c r="E1964" s="14" t="s">
        <v>120</v>
      </c>
      <c r="F1964" s="15" t="str">
        <f>IFERROR(__xludf.DUMMYFUNCTION("GOOGLETRANSLATE(B1964,""en"",""ar"")"),"شمعة")</f>
        <v>شمعة</v>
      </c>
    </row>
    <row r="1965" ht="14.25" customHeight="1">
      <c r="A1965" s="5"/>
      <c r="B1965" s="2" t="s">
        <v>2109</v>
      </c>
      <c r="C1965" s="2">
        <v>2.0</v>
      </c>
      <c r="E1965" s="14" t="s">
        <v>13</v>
      </c>
      <c r="F1965" s="15" t="str">
        <f>IFERROR(__xludf.DUMMYFUNCTION("GOOGLETRANSLATE(B1965,""en"",""ar"")"),"احتفل")</f>
        <v>احتفل</v>
      </c>
    </row>
    <row r="1966" ht="14.25" customHeight="1">
      <c r="A1966" s="5"/>
      <c r="B1966" s="2" t="s">
        <v>2110</v>
      </c>
      <c r="C1966" s="2">
        <v>2.0</v>
      </c>
      <c r="E1966" s="14" t="s">
        <v>80</v>
      </c>
      <c r="F1966" s="15" t="str">
        <f>IFERROR(__xludf.DUMMYFUNCTION("GOOGLETRANSLATE(B1966,""en"",""ar"")"),"صدر")</f>
        <v>صدر</v>
      </c>
    </row>
    <row r="1967" ht="14.25" customHeight="1">
      <c r="A1967" s="5"/>
      <c r="B1967" s="2" t="s">
        <v>2111</v>
      </c>
      <c r="C1967" s="2">
        <v>2.0</v>
      </c>
      <c r="E1967" s="14" t="s">
        <v>80</v>
      </c>
      <c r="F1967" s="15" t="str">
        <f>IFERROR(__xludf.DUMMYFUNCTION("GOOGLETRANSLATE(B1967,""en"",""ar"")"),"شوكولاتة")</f>
        <v>شوكولاتة</v>
      </c>
    </row>
    <row r="1968" ht="14.25" customHeight="1">
      <c r="A1968" s="5"/>
      <c r="B1968" s="2" t="s">
        <v>2112</v>
      </c>
      <c r="C1968" s="2">
        <v>2.0</v>
      </c>
      <c r="E1968" s="14" t="s">
        <v>120</v>
      </c>
      <c r="F1968" s="15" t="str">
        <f>IFERROR(__xludf.DUMMYFUNCTION("GOOGLETRANSLATE(B1968,""en"",""ar"")"),"كاتب ملفات")</f>
        <v>كاتب ملفات</v>
      </c>
    </row>
    <row r="1969" ht="14.25" customHeight="1">
      <c r="A1969" s="5"/>
      <c r="B1969" s="2" t="s">
        <v>2113</v>
      </c>
      <c r="C1969" s="2">
        <v>2.0</v>
      </c>
      <c r="E1969" s="14" t="s">
        <v>120</v>
      </c>
      <c r="F1969" s="15" t="str">
        <f>IFERROR(__xludf.DUMMYFUNCTION("GOOGLETRANSLATE(B1969,""en"",""ar"")"),"غيم")</f>
        <v>غيم</v>
      </c>
    </row>
    <row r="1970" ht="14.25" customHeight="1">
      <c r="A1970" s="5"/>
      <c r="B1970" s="2" t="s">
        <v>2114</v>
      </c>
      <c r="C1970" s="2">
        <v>2.0</v>
      </c>
      <c r="E1970" s="14" t="s">
        <v>113</v>
      </c>
      <c r="F1970" s="15" t="str">
        <f>IFERROR(__xludf.DUMMYFUNCTION("GOOGLETRANSLATE(B1970,""en"",""ar"")"),"شاملة")</f>
        <v>شاملة</v>
      </c>
    </row>
    <row r="1971" ht="14.25" customHeight="1">
      <c r="A1971" s="5"/>
      <c r="B1971" s="2" t="s">
        <v>2115</v>
      </c>
      <c r="C1971" s="2">
        <v>2.0</v>
      </c>
      <c r="E1971" s="14" t="s">
        <v>95</v>
      </c>
      <c r="F1971" s="15" t="str">
        <f>IFERROR(__xludf.DUMMYFUNCTION("GOOGLETRANSLATE(B1971,""en"",""ar"")"),"تركز")</f>
        <v>تركز</v>
      </c>
    </row>
    <row r="1972" ht="14.25" customHeight="1">
      <c r="A1972" s="5"/>
      <c r="B1972" s="2" t="s">
        <v>2116</v>
      </c>
      <c r="C1972" s="2">
        <v>2.0</v>
      </c>
      <c r="E1972" s="14" t="s">
        <v>120</v>
      </c>
      <c r="F1972" s="15" t="str">
        <f>IFERROR(__xludf.DUMMYFUNCTION("GOOGLETRANSLATE(B1972,""en"",""ar"")"),"حفلة موسيقية")</f>
        <v>حفلة موسيقية</v>
      </c>
    </row>
    <row r="1973" ht="14.25" customHeight="1">
      <c r="A1973" s="5"/>
      <c r="B1973" s="2" t="s">
        <v>2117</v>
      </c>
      <c r="C1973" s="2">
        <v>2.0</v>
      </c>
      <c r="E1973" s="14" t="s">
        <v>80</v>
      </c>
      <c r="F1973" s="15" t="str">
        <f>IFERROR(__xludf.DUMMYFUNCTION("GOOGLETRANSLATE(B1973,""en"",""ar"")"),"استنتاج")</f>
        <v>استنتاج</v>
      </c>
    </row>
    <row r="1974" ht="14.25" customHeight="1">
      <c r="A1974" s="5"/>
      <c r="B1974" s="2" t="s">
        <v>2118</v>
      </c>
      <c r="C1974" s="2">
        <v>2.0</v>
      </c>
      <c r="E1974" s="14" t="s">
        <v>80</v>
      </c>
      <c r="F1974" s="15" t="str">
        <f>IFERROR(__xludf.DUMMYFUNCTION("GOOGLETRANSLATE(B1974,""en"",""ar"")"),"إسهام")</f>
        <v>إسهام</v>
      </c>
    </row>
    <row r="1975" ht="14.25" customHeight="1">
      <c r="A1975" s="5"/>
      <c r="B1975" s="2" t="s">
        <v>2119</v>
      </c>
      <c r="C1975" s="2">
        <v>2.0</v>
      </c>
      <c r="E1975" s="14" t="s">
        <v>13</v>
      </c>
      <c r="F1975" s="15" t="str">
        <f>IFERROR(__xludf.DUMMYFUNCTION("GOOGLETRANSLATE(B1975,""en"",""ar"")"),"يقنع")</f>
        <v>يقنع</v>
      </c>
    </row>
    <row r="1976" ht="14.25" customHeight="1">
      <c r="A1976" s="5"/>
      <c r="B1976" s="2" t="s">
        <v>2120</v>
      </c>
      <c r="C1976" s="2">
        <v>2.0</v>
      </c>
      <c r="E1976" s="14" t="s">
        <v>80</v>
      </c>
      <c r="F1976" s="15" t="str">
        <f>IFERROR(__xludf.DUMMYFUNCTION("GOOGLETRANSLATE(B1976,""en"",""ar"")"),"بسكويت")</f>
        <v>بسكويت</v>
      </c>
    </row>
    <row r="1977" ht="14.25" customHeight="1">
      <c r="A1977" s="5"/>
      <c r="B1977" s="2" t="s">
        <v>2121</v>
      </c>
      <c r="C1977" s="2">
        <v>2.0</v>
      </c>
      <c r="E1977" s="14" t="s">
        <v>2122</v>
      </c>
      <c r="F1977" s="15" t="str">
        <f>IFERROR(__xludf.DUMMYFUNCTION("GOOGLETRANSLATE(B1977,""en"",""ar"")"),"يعداد")</f>
        <v>يعداد</v>
      </c>
    </row>
    <row r="1978" ht="14.25" customHeight="1">
      <c r="A1978" s="5"/>
      <c r="B1978" s="2" t="s">
        <v>2123</v>
      </c>
      <c r="C1978" s="2">
        <v>2.0</v>
      </c>
      <c r="E1978" s="14" t="s">
        <v>80</v>
      </c>
      <c r="F1978" s="15" t="str">
        <f>IFERROR(__xludf.DUMMYFUNCTION("GOOGLETRANSLATE(B1978,""en"",""ar"")"),"شجاعة")</f>
        <v>شجاعة</v>
      </c>
    </row>
    <row r="1979" ht="14.25" customHeight="1">
      <c r="A1979" s="5"/>
      <c r="B1979" s="2" t="s">
        <v>2124</v>
      </c>
      <c r="C1979" s="2">
        <v>2.0</v>
      </c>
      <c r="E1979" s="14" t="s">
        <v>113</v>
      </c>
      <c r="F1979" s="15" t="str">
        <f>IFERROR(__xludf.DUMMYFUNCTION("GOOGLETRANSLATE(B1979,""en"",""ar"")"),"فضولي")</f>
        <v>فضولي</v>
      </c>
    </row>
    <row r="1980" ht="14.25" customHeight="1">
      <c r="A1980" s="5"/>
      <c r="B1980" s="2" t="s">
        <v>2125</v>
      </c>
      <c r="C1980" s="2">
        <v>2.0</v>
      </c>
      <c r="E1980" s="14" t="s">
        <v>80</v>
      </c>
      <c r="F1980" s="15" t="str">
        <f>IFERROR(__xludf.DUMMYFUNCTION("GOOGLETRANSLATE(B1980,""en"",""ar"")"),"بابا")</f>
        <v>بابا</v>
      </c>
    </row>
    <row r="1981" ht="14.25" customHeight="1">
      <c r="A1981" s="5"/>
      <c r="B1981" s="2" t="s">
        <v>2126</v>
      </c>
      <c r="C1981" s="2">
        <v>2.0</v>
      </c>
      <c r="E1981" s="14" t="s">
        <v>80</v>
      </c>
      <c r="F1981" s="15" t="str">
        <f>IFERROR(__xludf.DUMMYFUNCTION("GOOGLETRANSLATE(B1981,""en"",""ar"")"),"طاولة مكتب")</f>
        <v>طاولة مكتب</v>
      </c>
    </row>
    <row r="1982" ht="14.25" customHeight="1">
      <c r="A1982" s="5"/>
      <c r="B1982" s="2" t="s">
        <v>2127</v>
      </c>
      <c r="C1982" s="2">
        <v>2.0</v>
      </c>
      <c r="E1982" s="14" t="s">
        <v>180</v>
      </c>
      <c r="F1982" s="15" t="str">
        <f>IFERROR(__xludf.DUMMYFUNCTION("GOOGLETRANSLATE(B1982,""en"",""ar"")"),"متسخ")</f>
        <v>متسخ</v>
      </c>
    </row>
    <row r="1983" ht="14.25" customHeight="1">
      <c r="A1983" s="5"/>
      <c r="B1983" s="2" t="s">
        <v>2128</v>
      </c>
      <c r="C1983" s="2">
        <v>2.0</v>
      </c>
      <c r="E1983" s="14" t="s">
        <v>13</v>
      </c>
      <c r="F1983" s="15" t="str">
        <f>IFERROR(__xludf.DUMMYFUNCTION("GOOGLETRANSLATE(B1983,""en"",""ar"")"),"تعارض")</f>
        <v>تعارض</v>
      </c>
    </row>
    <row r="1984" ht="14.25" customHeight="1">
      <c r="A1984" s="5"/>
      <c r="B1984" s="2" t="s">
        <v>2129</v>
      </c>
      <c r="C1984" s="2">
        <v>2.0</v>
      </c>
      <c r="E1984" s="14" t="s">
        <v>337</v>
      </c>
      <c r="F1984" s="15" t="str">
        <f>IFERROR(__xludf.DUMMYFUNCTION("GOOGLETRANSLATE(B1984,""en"",""ar"")"),"وسط البلد")</f>
        <v>وسط البلد</v>
      </c>
    </row>
    <row r="1985" ht="14.25" customHeight="1">
      <c r="A1985" s="5"/>
      <c r="B1985" s="2" t="s">
        <v>2130</v>
      </c>
      <c r="C1985" s="2">
        <v>2.0</v>
      </c>
      <c r="E1985" s="14" t="s">
        <v>80</v>
      </c>
      <c r="F1985" s="15" t="str">
        <f>IFERROR(__xludf.DUMMYFUNCTION("GOOGLETRANSLATE(B1985,""en"",""ar"")"),"الدرج")</f>
        <v>الدرج</v>
      </c>
    </row>
    <row r="1986" ht="14.25" customHeight="1">
      <c r="A1986" s="5"/>
      <c r="B1986" s="2" t="s">
        <v>2131</v>
      </c>
      <c r="C1986" s="2">
        <v>2.0</v>
      </c>
      <c r="E1986" s="14" t="s">
        <v>13</v>
      </c>
      <c r="F1986" s="15" t="str">
        <f>IFERROR(__xludf.DUMMYFUNCTION("GOOGLETRANSLATE(B1986,""en"",""ar"")"),"إنشاء")</f>
        <v>إنشاء</v>
      </c>
    </row>
    <row r="1987" ht="14.25" customHeight="1">
      <c r="A1987" s="5"/>
      <c r="B1987" s="2" t="s">
        <v>2132</v>
      </c>
      <c r="C1987" s="2">
        <v>2.0</v>
      </c>
      <c r="E1987" s="14" t="s">
        <v>80</v>
      </c>
      <c r="F1987" s="15" t="str">
        <f>IFERROR(__xludf.DUMMYFUNCTION("GOOGLETRANSLATE(B1987,""en"",""ar"")"),"مؤسسة")</f>
        <v>مؤسسة</v>
      </c>
    </row>
    <row r="1988" ht="14.25" customHeight="1">
      <c r="A1988" s="5"/>
      <c r="B1988" s="2" t="s">
        <v>2133</v>
      </c>
      <c r="C1988" s="2">
        <v>2.0</v>
      </c>
      <c r="E1988" s="14" t="s">
        <v>95</v>
      </c>
      <c r="F1988" s="15" t="str">
        <f>IFERROR(__xludf.DUMMYFUNCTION("GOOGLETRANSLATE(B1988,""en"",""ar"")"),"تقدير")</f>
        <v>تقدير</v>
      </c>
    </row>
    <row r="1989" ht="14.25" customHeight="1">
      <c r="A1989" s="5"/>
      <c r="B1989" s="2" t="s">
        <v>2134</v>
      </c>
      <c r="C1989" s="2">
        <v>2.0</v>
      </c>
      <c r="E1989" s="14" t="s">
        <v>80</v>
      </c>
      <c r="F1989" s="15" t="str">
        <f>IFERROR(__xludf.DUMMYFUNCTION("GOOGLETRANSLATE(B1989,""en"",""ar"")"),"فحص")</f>
        <v>فحص</v>
      </c>
    </row>
    <row r="1990" ht="14.25" customHeight="1">
      <c r="A1990" s="5"/>
      <c r="B1990" s="2" t="s">
        <v>2135</v>
      </c>
      <c r="C1990" s="2">
        <v>2.0</v>
      </c>
      <c r="E1990" s="14" t="s">
        <v>120</v>
      </c>
      <c r="F1990" s="15" t="str">
        <f>IFERROR(__xludf.DUMMYFUNCTION("GOOGLETRANSLATE(B1990,""en"",""ar"")"),"زهرة")</f>
        <v>زهرة</v>
      </c>
    </row>
    <row r="1991" ht="14.25" customHeight="1">
      <c r="A1991" s="5"/>
      <c r="B1991" s="2" t="s">
        <v>2136</v>
      </c>
      <c r="C1991" s="2">
        <v>2.0</v>
      </c>
      <c r="E1991" s="14" t="s">
        <v>80</v>
      </c>
      <c r="F1991" s="15" t="str">
        <f>IFERROR(__xludf.DUMMYFUNCTION("GOOGLETRANSLATE(B1991,""en"",""ar"")"),"قمامة")</f>
        <v>قمامة</v>
      </c>
    </row>
    <row r="1992" ht="14.25" customHeight="1">
      <c r="A1992" s="5"/>
      <c r="B1992" s="2" t="s">
        <v>2137</v>
      </c>
      <c r="C1992" s="2">
        <v>2.0</v>
      </c>
      <c r="E1992" s="14" t="s">
        <v>236</v>
      </c>
      <c r="F1992" s="15" t="str">
        <f>IFERROR(__xludf.DUMMYFUNCTION("GOOGLETRANSLATE(B1992,""en"",""ar"")"),"كبير")</f>
        <v>كبير</v>
      </c>
    </row>
    <row r="1993" ht="14.25" customHeight="1">
      <c r="A1993" s="5"/>
      <c r="B1993" s="2" t="s">
        <v>2138</v>
      </c>
      <c r="C1993" s="2">
        <v>2.0</v>
      </c>
      <c r="E1993" s="14" t="s">
        <v>120</v>
      </c>
      <c r="F1993" s="15" t="str">
        <f>IFERROR(__xludf.DUMMYFUNCTION("GOOGLETRANSLATE(B1993,""en"",""ar"")"),"جد")</f>
        <v>جد</v>
      </c>
    </row>
    <row r="1994" ht="14.25" customHeight="1">
      <c r="A1994" s="5"/>
      <c r="B1994" s="2" t="s">
        <v>2139</v>
      </c>
      <c r="C1994" s="2">
        <v>2.0</v>
      </c>
      <c r="E1994" s="14" t="s">
        <v>80</v>
      </c>
      <c r="F1994" s="15" t="str">
        <f>IFERROR(__xludf.DUMMYFUNCTION("GOOGLETRANSLATE(B1994,""en"",""ar"")"),"خضروات")</f>
        <v>خضروات</v>
      </c>
    </row>
    <row r="1995" ht="14.25" customHeight="1">
      <c r="A1995" s="5"/>
      <c r="B1995" s="2" t="s">
        <v>2140</v>
      </c>
      <c r="C1995" s="2">
        <v>2.0</v>
      </c>
      <c r="E1995" s="14" t="s">
        <v>120</v>
      </c>
      <c r="F1995" s="15" t="str">
        <f>IFERROR(__xludf.DUMMYFUNCTION("GOOGLETRANSLATE(B1995,""en"",""ar"")"),"ضرر وتلف")</f>
        <v>ضرر وتلف</v>
      </c>
    </row>
    <row r="1996" ht="14.25" customHeight="1">
      <c r="A1996" s="5"/>
      <c r="B1996" s="2" t="s">
        <v>2141</v>
      </c>
      <c r="C1996" s="2">
        <v>2.0</v>
      </c>
      <c r="E1996" s="14" t="s">
        <v>51</v>
      </c>
      <c r="F1996" s="15" t="str">
        <f>IFERROR(__xludf.DUMMYFUNCTION("GOOGLETRANSLATE(B1996,""en"",""ar"")"),"صادق")</f>
        <v>صادق</v>
      </c>
    </row>
    <row r="1997" ht="14.25" customHeight="1">
      <c r="A1997" s="5"/>
      <c r="B1997" s="2" t="s">
        <v>2142</v>
      </c>
      <c r="C1997" s="2">
        <v>2.0</v>
      </c>
      <c r="E1997" s="14" t="s">
        <v>80</v>
      </c>
      <c r="F1997" s="15" t="str">
        <f>IFERROR(__xludf.DUMMYFUNCTION("GOOGLETRANSLATE(B1997,""en"",""ar"")"),"عسل")</f>
        <v>عسل</v>
      </c>
    </row>
    <row r="1998" ht="14.25" customHeight="1">
      <c r="A1998" s="5"/>
      <c r="B1998" s="2" t="s">
        <v>2143</v>
      </c>
      <c r="C1998" s="2">
        <v>2.0</v>
      </c>
      <c r="E1998" s="14" t="s">
        <v>13</v>
      </c>
      <c r="F1998" s="15" t="str">
        <f>IFERROR(__xludf.DUMMYFUNCTION("GOOGLETRANSLATE(B1998,""en"",""ar"")"),"يتجاهل")</f>
        <v>يتجاهل</v>
      </c>
    </row>
    <row r="1999" ht="14.25" customHeight="1">
      <c r="A1999" s="5"/>
      <c r="B1999" s="2" t="s">
        <v>2144</v>
      </c>
      <c r="C1999" s="2">
        <v>2.0</v>
      </c>
      <c r="E1999" s="14" t="s">
        <v>13</v>
      </c>
      <c r="F1999" s="15" t="str">
        <f>IFERROR(__xludf.DUMMYFUNCTION("GOOGLETRANSLATE(B1999,""en"",""ar"")"),"لمح")</f>
        <v>لمح</v>
      </c>
    </row>
    <row r="2000" ht="14.25" customHeight="1">
      <c r="A2000" s="5"/>
      <c r="B2000" s="2" t="s">
        <v>2145</v>
      </c>
      <c r="C2000" s="2">
        <v>2.0</v>
      </c>
      <c r="E2000" s="14" t="s">
        <v>80</v>
      </c>
      <c r="F2000" s="15" t="str">
        <f>IFERROR(__xludf.DUMMYFUNCTION("GOOGLETRANSLATE(B2000,""en"",""ar"")"),"انطباع")</f>
        <v>انطباع</v>
      </c>
    </row>
    <row r="2001" ht="14.25" customHeight="1">
      <c r="A2001" s="5"/>
      <c r="B2001" s="2" t="s">
        <v>2146</v>
      </c>
      <c r="C2001" s="2">
        <v>2.0</v>
      </c>
      <c r="E2001" s="14" t="s">
        <v>113</v>
      </c>
      <c r="F2001" s="15" t="str">
        <f>IFERROR(__xludf.DUMMYFUNCTION("GOOGLETRANSLATE(B2001,""en"",""ar"")"),"محرج")</f>
        <v>محرج</v>
      </c>
    </row>
    <row r="2002" ht="14.25" customHeight="1">
      <c r="A2002" s="5"/>
      <c r="B2002" s="2" t="s">
        <v>2147</v>
      </c>
      <c r="C2002" s="2">
        <v>2.0</v>
      </c>
      <c r="E2002" s="14" t="s">
        <v>80</v>
      </c>
      <c r="F2002" s="15" t="str">
        <f>IFERROR(__xludf.DUMMYFUNCTION("GOOGLETRANSLATE(B2002,""en"",""ar"")"),"تحسين")</f>
        <v>تحسين</v>
      </c>
    </row>
    <row r="2003" ht="14.25" customHeight="1">
      <c r="A2003" s="5"/>
      <c r="B2003" s="2" t="s">
        <v>2148</v>
      </c>
      <c r="C2003" s="2">
        <v>2.0</v>
      </c>
      <c r="E2003" s="14" t="s">
        <v>80</v>
      </c>
      <c r="F2003" s="15" t="str">
        <f>IFERROR(__xludf.DUMMYFUNCTION("GOOGLETRANSLATE(B2003,""en"",""ar"")"),"استقلال")</f>
        <v>استقلال</v>
      </c>
    </row>
    <row r="2004" ht="14.25" customHeight="1">
      <c r="A2004" s="5"/>
      <c r="B2004" s="2" t="s">
        <v>2149</v>
      </c>
      <c r="C2004" s="2">
        <v>2.0</v>
      </c>
      <c r="E2004" s="14" t="s">
        <v>113</v>
      </c>
      <c r="F2004" s="15" t="str">
        <f>IFERROR(__xludf.DUMMYFUNCTION("GOOGLETRANSLATE(B2004,""en"",""ar"")"),"غير رسمي")</f>
        <v>غير رسمي</v>
      </c>
    </row>
    <row r="2005" ht="14.25" customHeight="1">
      <c r="A2005" s="5"/>
      <c r="B2005" s="2" t="s">
        <v>2150</v>
      </c>
      <c r="C2005" s="2">
        <v>2.0</v>
      </c>
      <c r="E2005" s="14" t="s">
        <v>113</v>
      </c>
      <c r="F2005" s="15" t="str">
        <f>IFERROR(__xludf.DUMMYFUNCTION("GOOGLETRANSLATE(B2005,""en"",""ar"")"),"داخلي")</f>
        <v>داخلي</v>
      </c>
    </row>
    <row r="2006" ht="14.25" customHeight="1">
      <c r="A2006" s="5"/>
      <c r="B2006" s="2" t="s">
        <v>2151</v>
      </c>
      <c r="C2006" s="2">
        <v>2.0</v>
      </c>
      <c r="E2006" s="14" t="s">
        <v>80</v>
      </c>
      <c r="F2006" s="15" t="str">
        <f>IFERROR(__xludf.DUMMYFUNCTION("GOOGLETRANSLATE(B2006,""en"",""ar"")"),"الحشرات")</f>
        <v>الحشرات</v>
      </c>
    </row>
    <row r="2007" ht="14.25" customHeight="1">
      <c r="A2007" s="5"/>
      <c r="B2007" s="2" t="s">
        <v>2152</v>
      </c>
      <c r="C2007" s="2">
        <v>2.0</v>
      </c>
      <c r="E2007" s="14" t="s">
        <v>13</v>
      </c>
      <c r="F2007" s="15" t="str">
        <f>IFERROR(__xludf.DUMMYFUNCTION("GOOGLETRANSLATE(B2007,""en"",""ar"")"),"أصر")</f>
        <v>أصر</v>
      </c>
    </row>
    <row r="2008" ht="14.25" customHeight="1">
      <c r="A2008" s="5"/>
      <c r="B2008" s="2" t="s">
        <v>2153</v>
      </c>
      <c r="C2008" s="2">
        <v>2.0</v>
      </c>
      <c r="E2008" s="14" t="s">
        <v>80</v>
      </c>
      <c r="F2008" s="15" t="str">
        <f>IFERROR(__xludf.DUMMYFUNCTION("GOOGLETRANSLATE(B2008,""en"",""ar"")"),"تكمن")</f>
        <v>تكمن</v>
      </c>
    </row>
    <row r="2009" ht="14.25" customHeight="1">
      <c r="A2009" s="5"/>
      <c r="B2009" s="2" t="s">
        <v>2154</v>
      </c>
      <c r="C2009" s="2">
        <v>2.0</v>
      </c>
      <c r="E2009" s="14" t="s">
        <v>80</v>
      </c>
      <c r="F2009" s="15" t="str">
        <f>IFERROR(__xludf.DUMMYFUNCTION("GOOGLETRANSLATE(B2009,""en"",""ar"")"),"مفتش")</f>
        <v>مفتش</v>
      </c>
    </row>
    <row r="2010" ht="14.25" customHeight="1">
      <c r="A2010" s="5"/>
      <c r="B2010" s="2" t="s">
        <v>2155</v>
      </c>
      <c r="C2010" s="2">
        <v>2.0</v>
      </c>
      <c r="E2010" s="14" t="s">
        <v>80</v>
      </c>
      <c r="F2010" s="15" t="str">
        <f>IFERROR(__xludf.DUMMYFUNCTION("GOOGLETRANSLATE(B2010,""en"",""ar"")"),"ملِك")</f>
        <v>ملِك</v>
      </c>
    </row>
    <row r="2011" ht="14.25" customHeight="1">
      <c r="A2011" s="5"/>
      <c r="B2011" s="2" t="s">
        <v>2156</v>
      </c>
      <c r="C2011" s="2">
        <v>2.0</v>
      </c>
      <c r="E2011" s="14" t="s">
        <v>120</v>
      </c>
      <c r="F2011" s="15" t="str">
        <f>IFERROR(__xludf.DUMMYFUNCTION("GOOGLETRANSLATE(B2011,""en"",""ar"")"),"ركبة")</f>
        <v>ركبة</v>
      </c>
    </row>
    <row r="2012" ht="14.25" customHeight="1">
      <c r="A2012" s="5"/>
      <c r="B2012" s="2" t="s">
        <v>2157</v>
      </c>
      <c r="C2012" s="2">
        <v>2.0</v>
      </c>
      <c r="E2012" s="14" t="s">
        <v>80</v>
      </c>
      <c r="F2012" s="15" t="str">
        <f>IFERROR(__xludf.DUMMYFUNCTION("GOOGLETRANSLATE(B2012,""en"",""ar"")"),"سُلُّم")</f>
        <v>سُلُّم</v>
      </c>
    </row>
    <row r="2013" ht="14.25" customHeight="1">
      <c r="A2013" s="5"/>
      <c r="B2013" s="2" t="s">
        <v>2158</v>
      </c>
      <c r="C2013" s="2">
        <v>2.0</v>
      </c>
      <c r="E2013" s="14" t="s">
        <v>120</v>
      </c>
      <c r="F2013" s="15" t="str">
        <f>IFERROR(__xludf.DUMMYFUNCTION("GOOGLETRANSLATE(B2013,""en"",""ar"")"),"محامي")</f>
        <v>محامي</v>
      </c>
    </row>
    <row r="2014" ht="14.25" customHeight="1">
      <c r="A2014" s="5"/>
      <c r="B2014" s="2" t="s">
        <v>2159</v>
      </c>
      <c r="C2014" s="2">
        <v>2.0</v>
      </c>
      <c r="E2014" s="14" t="s">
        <v>84</v>
      </c>
      <c r="F2014" s="15" t="str">
        <f>IFERROR(__xludf.DUMMYFUNCTION("GOOGLETRANSLATE(B2014,""en"",""ar"")"),"جلد")</f>
        <v>جلد</v>
      </c>
    </row>
    <row r="2015" ht="14.25" customHeight="1">
      <c r="A2015" s="5"/>
      <c r="B2015" s="2" t="s">
        <v>2160</v>
      </c>
      <c r="C2015" s="2">
        <v>2.0</v>
      </c>
      <c r="E2015" s="14" t="s">
        <v>120</v>
      </c>
      <c r="F2015" s="15" t="str">
        <f>IFERROR(__xludf.DUMMYFUNCTION("GOOGLETRANSLATE(B2015,""en"",""ar"")"),"حمل")</f>
        <v>حمل</v>
      </c>
    </row>
    <row r="2016" ht="14.25" customHeight="1">
      <c r="A2016" s="5"/>
      <c r="B2016" s="2" t="s">
        <v>2161</v>
      </c>
      <c r="C2016" s="2">
        <v>2.0</v>
      </c>
      <c r="E2016" s="14" t="s">
        <v>180</v>
      </c>
      <c r="F2016" s="15" t="str">
        <f>IFERROR(__xludf.DUMMYFUNCTION("GOOGLETRANSLATE(B2016,""en"",""ar"")"),"مرتخي")</f>
        <v>مرتخي</v>
      </c>
    </row>
    <row r="2017" ht="14.25" customHeight="1">
      <c r="A2017" s="5"/>
      <c r="B2017" s="2" t="s">
        <v>2162</v>
      </c>
      <c r="C2017" s="2">
        <v>2.0</v>
      </c>
      <c r="E2017" s="14" t="s">
        <v>236</v>
      </c>
      <c r="F2017" s="15" t="str">
        <f>IFERROR(__xludf.DUMMYFUNCTION("GOOGLETRANSLATE(B2017,""en"",""ar"")"),"الذكر")</f>
        <v>الذكر</v>
      </c>
    </row>
    <row r="2018" ht="14.25" customHeight="1">
      <c r="A2018" s="5"/>
      <c r="B2018" s="2" t="s">
        <v>2163</v>
      </c>
      <c r="C2018" s="2">
        <v>2.0</v>
      </c>
      <c r="E2018" s="14" t="s">
        <v>80</v>
      </c>
      <c r="F2018" s="15" t="str">
        <f>IFERROR(__xludf.DUMMYFUNCTION("GOOGLETRANSLATE(B2018,""en"",""ar"")"),"قائمة")</f>
        <v>قائمة</v>
      </c>
    </row>
    <row r="2019" ht="14.25" customHeight="1">
      <c r="A2019" s="5"/>
      <c r="B2019" s="2" t="s">
        <v>2164</v>
      </c>
      <c r="C2019" s="2">
        <v>2.0</v>
      </c>
      <c r="E2019" s="14" t="s">
        <v>2165</v>
      </c>
      <c r="F2019" s="15" t="str">
        <f>IFERROR(__xludf.DUMMYFUNCTION("GOOGLETRANSLATE(B2019,""en"",""ar"")"),"مِلكِي")</f>
        <v>مِلكِي</v>
      </c>
    </row>
    <row r="2020" ht="14.25" customHeight="1">
      <c r="A2020" s="5"/>
      <c r="B2020" s="2" t="s">
        <v>2166</v>
      </c>
      <c r="C2020" s="2">
        <v>2.0</v>
      </c>
      <c r="E2020" s="14" t="s">
        <v>120</v>
      </c>
      <c r="F2020" s="15" t="str">
        <f>IFERROR(__xludf.DUMMYFUNCTION("GOOGLETRANSLATE(B2020,""en"",""ar"")"),"مرآة")</f>
        <v>مرآة</v>
      </c>
    </row>
    <row r="2021" ht="14.25" customHeight="1">
      <c r="A2021" s="5"/>
      <c r="B2021" s="2" t="s">
        <v>2167</v>
      </c>
      <c r="C2021" s="2">
        <v>2.0</v>
      </c>
      <c r="E2021" s="14" t="s">
        <v>43</v>
      </c>
      <c r="F2021" s="15" t="str">
        <f>IFERROR(__xludf.DUMMYFUNCTION("GOOGLETRANSLATE(B2021,""en"",""ar"")"),"وعلاوة على ذلك")</f>
        <v>وعلاوة على ذلك</v>
      </c>
    </row>
    <row r="2022" ht="14.25" customHeight="1">
      <c r="A2022" s="5"/>
      <c r="B2022" s="2" t="s">
        <v>2168</v>
      </c>
      <c r="C2022" s="2">
        <v>2.0</v>
      </c>
      <c r="E2022" s="14" t="s">
        <v>120</v>
      </c>
      <c r="F2022" s="15" t="str">
        <f>IFERROR(__xludf.DUMMYFUNCTION("GOOGLETRANSLATE(B2022,""en"",""ar"")"),"رقبه")</f>
        <v>رقبه</v>
      </c>
    </row>
    <row r="2023" ht="14.25" customHeight="1">
      <c r="A2023" s="5"/>
      <c r="B2023" s="2" t="s">
        <v>2169</v>
      </c>
      <c r="C2023" s="2">
        <v>2.0</v>
      </c>
      <c r="E2023" s="14" t="s">
        <v>80</v>
      </c>
      <c r="F2023" s="15" t="str">
        <f>IFERROR(__xludf.DUMMYFUNCTION("GOOGLETRANSLATE(B2023,""en"",""ar"")"),"عقوبة")</f>
        <v>عقوبة</v>
      </c>
    </row>
    <row r="2024" ht="14.25" customHeight="1">
      <c r="A2024" s="5"/>
      <c r="B2024" s="2" t="s">
        <v>2170</v>
      </c>
      <c r="C2024" s="2">
        <v>2.0</v>
      </c>
      <c r="E2024" s="14" t="s">
        <v>120</v>
      </c>
      <c r="F2024" s="15" t="str">
        <f>IFERROR(__xludf.DUMMYFUNCTION("GOOGLETRANSLATE(B2024,""en"",""ar"")"),"راتب تقاعد")</f>
        <v>راتب تقاعد</v>
      </c>
    </row>
    <row r="2025" ht="14.25" customHeight="1">
      <c r="A2025" s="5"/>
      <c r="B2025" s="2" t="s">
        <v>2171</v>
      </c>
      <c r="C2025" s="2">
        <v>2.0</v>
      </c>
      <c r="E2025" s="14" t="s">
        <v>80</v>
      </c>
      <c r="F2025" s="15" t="str">
        <f>IFERROR(__xludf.DUMMYFUNCTION("GOOGLETRANSLATE(B2025,""en"",""ar"")"),"بيانو")</f>
        <v>بيانو</v>
      </c>
    </row>
    <row r="2026" ht="14.25" customHeight="1">
      <c r="A2026" s="5"/>
      <c r="B2026" s="2" t="s">
        <v>2172</v>
      </c>
      <c r="C2026" s="2">
        <v>2.0</v>
      </c>
      <c r="E2026" s="14" t="s">
        <v>120</v>
      </c>
      <c r="F2026" s="15" t="str">
        <f>IFERROR(__xludf.DUMMYFUNCTION("GOOGLETRANSLATE(B2026,""en"",""ar"")"),"لوحة")</f>
        <v>لوحة</v>
      </c>
    </row>
    <row r="2027" ht="14.25" customHeight="1">
      <c r="A2027" s="5"/>
      <c r="B2027" s="2" t="s">
        <v>2173</v>
      </c>
      <c r="C2027" s="2">
        <v>2.0</v>
      </c>
      <c r="E2027" s="14" t="s">
        <v>113</v>
      </c>
      <c r="F2027" s="15" t="str">
        <f>IFERROR(__xludf.DUMMYFUNCTION("GOOGLETRANSLATE(B2027,""en"",""ar"")"),"جَذّاب")</f>
        <v>جَذّاب</v>
      </c>
    </row>
    <row r="2028" ht="14.25" customHeight="1">
      <c r="A2028" s="5"/>
      <c r="B2028" s="2" t="s">
        <v>2174</v>
      </c>
      <c r="C2028" s="2">
        <v>2.0</v>
      </c>
      <c r="E2028" s="14" t="s">
        <v>88</v>
      </c>
      <c r="F2028" s="15" t="str">
        <f>IFERROR(__xludf.DUMMYFUNCTION("GOOGLETRANSLATE(B2028,""en"",""ar"")"),"مسرور")</f>
        <v>مسرور</v>
      </c>
    </row>
    <row r="2029" ht="14.25" customHeight="1">
      <c r="A2029" s="5"/>
      <c r="B2029" s="2" t="s">
        <v>2175</v>
      </c>
      <c r="C2029" s="2">
        <v>2.0</v>
      </c>
      <c r="E2029" s="14" t="s">
        <v>80</v>
      </c>
      <c r="F2029" s="15" t="str">
        <f>IFERROR(__xludf.DUMMYFUNCTION("GOOGLETRANSLATE(B2029,""en"",""ar"")"),"البطاطس")</f>
        <v>البطاطس</v>
      </c>
    </row>
    <row r="2030" ht="14.25" customHeight="1">
      <c r="A2030" s="5"/>
      <c r="B2030" s="2" t="s">
        <v>2176</v>
      </c>
      <c r="C2030" s="2">
        <v>2.0</v>
      </c>
      <c r="E2030" s="14" t="s">
        <v>80</v>
      </c>
      <c r="F2030" s="15" t="str">
        <f>IFERROR(__xludf.DUMMYFUNCTION("GOOGLETRANSLATE(B2030,""en"",""ar"")"),"مهنة")</f>
        <v>مهنة</v>
      </c>
    </row>
    <row r="2031" ht="14.25" customHeight="1">
      <c r="A2031" s="5"/>
      <c r="B2031" s="2" t="s">
        <v>2177</v>
      </c>
      <c r="C2031" s="2">
        <v>2.0</v>
      </c>
      <c r="E2031" s="14" t="s">
        <v>80</v>
      </c>
      <c r="F2031" s="15" t="str">
        <f>IFERROR(__xludf.DUMMYFUNCTION("GOOGLETRANSLATE(B2031,""en"",""ar"")"),"دكتور جامعى")</f>
        <v>دكتور جامعى</v>
      </c>
    </row>
    <row r="2032" ht="14.25" customHeight="1">
      <c r="A2032" s="5"/>
      <c r="B2032" s="2" t="s">
        <v>2178</v>
      </c>
      <c r="C2032" s="2">
        <v>2.0</v>
      </c>
      <c r="E2032" s="14" t="s">
        <v>325</v>
      </c>
      <c r="F2032" s="15" t="str">
        <f>IFERROR(__xludf.DUMMYFUNCTION("GOOGLETRANSLATE(B2032,""en"",""ar"")"),"مستعجل")</f>
        <v>مستعجل</v>
      </c>
    </row>
    <row r="2033" ht="14.25" customHeight="1">
      <c r="A2033" s="5"/>
      <c r="B2033" s="2" t="s">
        <v>2179</v>
      </c>
      <c r="C2033" s="2">
        <v>2.0</v>
      </c>
      <c r="E2033" s="14" t="s">
        <v>88</v>
      </c>
      <c r="F2033" s="15" t="str">
        <f>IFERROR(__xludf.DUMMYFUNCTION("GOOGLETRANSLATE(B2033,""en"",""ar"")"),"مقترح")</f>
        <v>مقترح</v>
      </c>
    </row>
    <row r="2034" ht="14.25" customHeight="1">
      <c r="A2034" s="5"/>
      <c r="B2034" s="2" t="s">
        <v>2180</v>
      </c>
      <c r="C2034" s="2">
        <v>2.0</v>
      </c>
      <c r="E2034" s="14" t="s">
        <v>84</v>
      </c>
      <c r="F2034" s="15" t="str">
        <f>IFERROR(__xludf.DUMMYFUNCTION("GOOGLETRANSLATE(B2034,""en"",""ar"")"),"ليلكي")</f>
        <v>ليلكي</v>
      </c>
    </row>
    <row r="2035" ht="14.25" customHeight="1">
      <c r="A2035" s="5"/>
      <c r="B2035" s="2" t="s">
        <v>2181</v>
      </c>
      <c r="C2035" s="2">
        <v>2.0</v>
      </c>
      <c r="E2035" s="14" t="s">
        <v>13</v>
      </c>
      <c r="F2035" s="15" t="str">
        <f>IFERROR(__xludf.DUMMYFUNCTION("GOOGLETRANSLATE(B2035,""en"",""ar"")"),"لاحق")</f>
        <v>لاحق</v>
      </c>
    </row>
    <row r="2036" ht="14.25" customHeight="1">
      <c r="A2036" s="5"/>
      <c r="B2036" s="2" t="s">
        <v>2182</v>
      </c>
      <c r="C2036" s="2">
        <v>2.0</v>
      </c>
      <c r="E2036" s="14" t="s">
        <v>80</v>
      </c>
      <c r="F2036" s="15" t="str">
        <f>IFERROR(__xludf.DUMMYFUNCTION("GOOGLETRANSLATE(B2036,""en"",""ar"")"),"كمية")</f>
        <v>كمية</v>
      </c>
    </row>
    <row r="2037" ht="14.25" customHeight="1">
      <c r="A2037" s="5"/>
      <c r="B2037" s="2" t="s">
        <v>2183</v>
      </c>
      <c r="C2037" s="2">
        <v>2.0</v>
      </c>
      <c r="E2037" s="14" t="s">
        <v>406</v>
      </c>
      <c r="F2037" s="15" t="str">
        <f>IFERROR(__xludf.DUMMYFUNCTION("GOOGLETRANSLATE(B2037,""en"",""ar"")"),"هادئ")</f>
        <v>هادئ</v>
      </c>
    </row>
    <row r="2038" ht="14.25" customHeight="1">
      <c r="A2038" s="5"/>
      <c r="B2038" s="2" t="s">
        <v>2184</v>
      </c>
      <c r="C2038" s="2">
        <v>2.0</v>
      </c>
      <c r="E2038" s="14" t="s">
        <v>80</v>
      </c>
      <c r="F2038" s="15" t="str">
        <f>IFERROR(__xludf.DUMMYFUNCTION("GOOGLETRANSLATE(B2038,""en"",""ar"")"),"تفاعل")</f>
        <v>تفاعل</v>
      </c>
    </row>
    <row r="2039" ht="14.25" customHeight="1">
      <c r="A2039" s="5"/>
      <c r="B2039" s="2" t="s">
        <v>2185</v>
      </c>
      <c r="C2039" s="2">
        <v>2.0</v>
      </c>
      <c r="E2039" s="14" t="s">
        <v>95</v>
      </c>
      <c r="F2039" s="15" t="str">
        <f>IFERROR(__xludf.DUMMYFUNCTION("GOOGLETRANSLATE(B2039,""en"",""ar"")"),"رفض")</f>
        <v>رفض</v>
      </c>
    </row>
    <row r="2040" ht="14.25" customHeight="1">
      <c r="A2040" s="5"/>
      <c r="B2040" s="2" t="s">
        <v>2186</v>
      </c>
      <c r="C2040" s="2">
        <v>2.0</v>
      </c>
      <c r="E2040" s="14" t="s">
        <v>95</v>
      </c>
      <c r="F2040" s="15" t="str">
        <f>IFERROR(__xludf.DUMMYFUNCTION("GOOGLETRANSLATE(B2040,""en"",""ar"")"),"ندم")</f>
        <v>ندم</v>
      </c>
    </row>
    <row r="2041" ht="14.25" customHeight="1">
      <c r="A2041" s="5"/>
      <c r="B2041" s="2" t="s">
        <v>2187</v>
      </c>
      <c r="C2041" s="2">
        <v>2.0</v>
      </c>
      <c r="E2041" s="14" t="s">
        <v>13</v>
      </c>
      <c r="F2041" s="15" t="str">
        <f>IFERROR(__xludf.DUMMYFUNCTION("GOOGLETRANSLATE(B2041,""en"",""ar"")"),"متبقي")</f>
        <v>متبقي</v>
      </c>
    </row>
    <row r="2042" ht="14.25" customHeight="1">
      <c r="A2042" s="5"/>
      <c r="B2042" s="2" t="s">
        <v>2188</v>
      </c>
      <c r="C2042" s="2">
        <v>2.0</v>
      </c>
      <c r="E2042" s="14" t="s">
        <v>80</v>
      </c>
      <c r="F2042" s="15" t="str">
        <f>IFERROR(__xludf.DUMMYFUNCTION("GOOGLETRANSLATE(B2042,""en"",""ar"")"),"المتطلبات")</f>
        <v>المتطلبات</v>
      </c>
    </row>
    <row r="2043" ht="14.25" customHeight="1">
      <c r="A2043" s="5"/>
      <c r="B2043" s="2" t="s">
        <v>2189</v>
      </c>
      <c r="C2043" s="2">
        <v>2.0</v>
      </c>
      <c r="E2043" s="14" t="s">
        <v>95</v>
      </c>
      <c r="F2043" s="15" t="str">
        <f>IFERROR(__xludf.DUMMYFUNCTION("GOOGLETRANSLATE(B2043,""en"",""ar"")"),"يكشف")</f>
        <v>يكشف</v>
      </c>
    </row>
    <row r="2044" ht="14.25" customHeight="1">
      <c r="A2044" s="5"/>
      <c r="B2044" s="2" t="s">
        <v>2190</v>
      </c>
      <c r="C2044" s="2">
        <v>2.0</v>
      </c>
      <c r="E2044" s="14" t="s">
        <v>120</v>
      </c>
      <c r="F2044" s="15" t="str">
        <f>IFERROR(__xludf.DUMMYFUNCTION("GOOGLETRANSLATE(B2044,""en"",""ar"")"),"يخرب")</f>
        <v>يخرب</v>
      </c>
    </row>
    <row r="2045" ht="14.25" customHeight="1">
      <c r="A2045" s="5"/>
      <c r="B2045" s="2" t="s">
        <v>2191</v>
      </c>
      <c r="C2045" s="2">
        <v>2.0</v>
      </c>
      <c r="E2045" s="14" t="s">
        <v>95</v>
      </c>
      <c r="F2045" s="15" t="str">
        <f>IFERROR(__xludf.DUMMYFUNCTION("GOOGLETRANSLATE(B2045,""en"",""ar"")"),"يسرع")</f>
        <v>يسرع</v>
      </c>
    </row>
    <row r="2046" ht="14.25" customHeight="1">
      <c r="A2046" s="5"/>
      <c r="B2046" s="2" t="s">
        <v>2192</v>
      </c>
      <c r="C2046" s="2">
        <v>2.0</v>
      </c>
      <c r="E2046" s="14" t="s">
        <v>80</v>
      </c>
      <c r="F2046" s="15" t="str">
        <f>IFERROR(__xludf.DUMMYFUNCTION("GOOGLETRANSLATE(B2046,""en"",""ar"")"),"سلطة")</f>
        <v>سلطة</v>
      </c>
    </row>
    <row r="2047" ht="14.25" customHeight="1">
      <c r="A2047" s="5"/>
      <c r="B2047" s="2" t="s">
        <v>2193</v>
      </c>
      <c r="C2047" s="2">
        <v>2.0</v>
      </c>
      <c r="E2047" s="14" t="s">
        <v>113</v>
      </c>
      <c r="F2047" s="15" t="str">
        <f>IFERROR(__xludf.DUMMYFUNCTION("GOOGLETRANSLATE(B2047,""en"",""ar"")"),"جنسي")</f>
        <v>جنسي</v>
      </c>
    </row>
    <row r="2048" ht="14.25" customHeight="1">
      <c r="A2048" s="5"/>
      <c r="B2048" s="2" t="s">
        <v>2194</v>
      </c>
      <c r="C2048" s="2">
        <v>2.0</v>
      </c>
      <c r="E2048" s="14" t="s">
        <v>95</v>
      </c>
      <c r="F2048" s="15" t="str">
        <f>IFERROR(__xludf.DUMMYFUNCTION("GOOGLETRANSLATE(B2048,""en"",""ar"")"),"هزة")</f>
        <v>هزة</v>
      </c>
    </row>
    <row r="2049" ht="14.25" customHeight="1">
      <c r="A2049" s="5"/>
      <c r="B2049" s="2" t="s">
        <v>2195</v>
      </c>
      <c r="C2049" s="2">
        <v>2.0</v>
      </c>
      <c r="E2049" s="14" t="s">
        <v>95</v>
      </c>
      <c r="F2049" s="15" t="str">
        <f>IFERROR(__xludf.DUMMYFUNCTION("GOOGLETRANSLATE(B2049,""en"",""ar"")"),"تحول")</f>
        <v>تحول</v>
      </c>
    </row>
    <row r="2050" ht="14.25" customHeight="1">
      <c r="A2050" s="5"/>
      <c r="B2050" s="2" t="s">
        <v>2196</v>
      </c>
      <c r="C2050" s="2">
        <v>2.0</v>
      </c>
      <c r="E2050" s="14" t="s">
        <v>95</v>
      </c>
      <c r="F2050" s="15" t="str">
        <f>IFERROR(__xludf.DUMMYFUNCTION("GOOGLETRANSLATE(B2050,""en"",""ar"")"),"يلمع")</f>
        <v>يلمع</v>
      </c>
    </row>
    <row r="2051" ht="14.25" customHeight="1">
      <c r="A2051" s="5"/>
      <c r="B2051" s="2" t="s">
        <v>2197</v>
      </c>
      <c r="C2051" s="2">
        <v>2.0</v>
      </c>
      <c r="E2051" s="14" t="s">
        <v>120</v>
      </c>
      <c r="F2051" s="15" t="str">
        <f>IFERROR(__xludf.DUMMYFUNCTION("GOOGLETRANSLATE(B2051,""en"",""ar"")"),"سفينة")</f>
        <v>سفينة</v>
      </c>
    </row>
    <row r="2052" ht="14.25" customHeight="1">
      <c r="A2052" s="5"/>
      <c r="B2052" s="2" t="s">
        <v>2198</v>
      </c>
      <c r="C2052" s="2">
        <v>2.0</v>
      </c>
      <c r="E2052" s="14" t="s">
        <v>80</v>
      </c>
      <c r="F2052" s="15" t="str">
        <f>IFERROR(__xludf.DUMMYFUNCTION("GOOGLETRANSLATE(B2052,""en"",""ar"")"),"أخت")</f>
        <v>أخت</v>
      </c>
    </row>
    <row r="2053" ht="14.25" customHeight="1">
      <c r="A2053" s="5"/>
      <c r="B2053" s="2" t="s">
        <v>2199</v>
      </c>
      <c r="C2053" s="2">
        <v>2.0</v>
      </c>
      <c r="E2053" s="14" t="s">
        <v>120</v>
      </c>
      <c r="F2053" s="15" t="str">
        <f>IFERROR(__xludf.DUMMYFUNCTION("GOOGLETRANSLATE(B2053,""en"",""ar"")"),"تنورة")</f>
        <v>تنورة</v>
      </c>
    </row>
    <row r="2054" ht="14.25" customHeight="1">
      <c r="A2054" s="5"/>
      <c r="B2054" s="2" t="s">
        <v>2200</v>
      </c>
      <c r="C2054" s="2">
        <v>2.0</v>
      </c>
      <c r="E2054" s="14" t="s">
        <v>120</v>
      </c>
      <c r="F2054" s="15" t="str">
        <f>IFERROR(__xludf.DUMMYFUNCTION("GOOGLETRANSLATE(B2054,""en"",""ar"")"),"شريحة")</f>
        <v>شريحة</v>
      </c>
    </row>
    <row r="2055" ht="14.25" customHeight="1">
      <c r="A2055" s="5"/>
      <c r="B2055" s="2" t="s">
        <v>2201</v>
      </c>
      <c r="C2055" s="2">
        <v>2.0</v>
      </c>
      <c r="E2055" s="14" t="s">
        <v>120</v>
      </c>
      <c r="F2055" s="15" t="str">
        <f>IFERROR(__xludf.DUMMYFUNCTION("GOOGLETRANSLATE(B2055,""en"",""ar"")"),"الثلج")</f>
        <v>الثلج</v>
      </c>
    </row>
    <row r="2056" ht="14.25" customHeight="1">
      <c r="A2056" s="5"/>
      <c r="B2056" s="2" t="s">
        <v>2202</v>
      </c>
      <c r="C2056" s="2">
        <v>2.0</v>
      </c>
      <c r="E2056" s="14" t="s">
        <v>149</v>
      </c>
      <c r="F2056" s="15" t="str">
        <f>IFERROR(__xludf.DUMMYFUNCTION("GOOGLETRANSLATE(B2056,""en"",""ar"")"),"متخصص")</f>
        <v>متخصص</v>
      </c>
    </row>
    <row r="2057" ht="14.25" customHeight="1">
      <c r="A2057" s="5"/>
      <c r="B2057" s="2" t="s">
        <v>2203</v>
      </c>
      <c r="C2057" s="2">
        <v>2.0</v>
      </c>
      <c r="E2057" s="14" t="s">
        <v>13</v>
      </c>
      <c r="F2057" s="15" t="str">
        <f>IFERROR(__xludf.DUMMYFUNCTION("GOOGLETRANSLATE(B2057,""en"",""ar"")"),"حدد")</f>
        <v>حدد</v>
      </c>
    </row>
    <row r="2058" ht="14.25" customHeight="1">
      <c r="A2058" s="5"/>
      <c r="B2058" s="2" t="s">
        <v>2204</v>
      </c>
      <c r="C2058" s="2">
        <v>2.0</v>
      </c>
      <c r="E2058" s="14" t="s">
        <v>95</v>
      </c>
      <c r="F2058" s="15" t="str">
        <f>IFERROR(__xludf.DUMMYFUNCTION("GOOGLETRANSLATE(B2058,""en"",""ar"")"),"سرقة")</f>
        <v>سرقة</v>
      </c>
    </row>
    <row r="2059" ht="14.25" customHeight="1">
      <c r="A2059" s="5"/>
      <c r="B2059" s="2" t="s">
        <v>2205</v>
      </c>
      <c r="C2059" s="2">
        <v>2.0</v>
      </c>
      <c r="E2059" s="14" t="s">
        <v>120</v>
      </c>
      <c r="F2059" s="15" t="str">
        <f>IFERROR(__xludf.DUMMYFUNCTION("GOOGLETRANSLATE(B2059,""en"",""ar"")"),"السكتة الدماغية")</f>
        <v>السكتة الدماغية</v>
      </c>
    </row>
    <row r="2060" ht="14.25" customHeight="1">
      <c r="A2060" s="5"/>
      <c r="B2060" s="2" t="s">
        <v>2206</v>
      </c>
      <c r="C2060" s="2">
        <v>2.0</v>
      </c>
      <c r="E2060" s="14" t="s">
        <v>43</v>
      </c>
      <c r="F2060" s="15" t="str">
        <f>IFERROR(__xludf.DUMMYFUNCTION("GOOGLETRANSLATE(B2060,""en"",""ar"")"),"بقوة")</f>
        <v>بقوة</v>
      </c>
    </row>
    <row r="2061" ht="14.25" customHeight="1">
      <c r="A2061" s="5"/>
      <c r="B2061" s="2" t="s">
        <v>2207</v>
      </c>
      <c r="C2061" s="2">
        <v>2.0</v>
      </c>
      <c r="E2061" s="14" t="s">
        <v>95</v>
      </c>
      <c r="F2061" s="15" t="str">
        <f>IFERROR(__xludf.DUMMYFUNCTION("GOOGLETRANSLATE(B2061,""en"",""ar"")"),"مص")</f>
        <v>مص</v>
      </c>
    </row>
    <row r="2062" ht="14.25" customHeight="1">
      <c r="A2062" s="5"/>
      <c r="B2062" s="2" t="s">
        <v>2208</v>
      </c>
      <c r="C2062" s="2">
        <v>2.0</v>
      </c>
      <c r="E2062" s="14" t="s">
        <v>113</v>
      </c>
      <c r="F2062" s="15" t="str">
        <f>IFERROR(__xludf.DUMMYFUNCTION("GOOGLETRANSLATE(B2062,""en"",""ar"")"),"فجأة")</f>
        <v>فجأة</v>
      </c>
    </row>
    <row r="2063" ht="14.25" customHeight="1">
      <c r="A2063" s="5"/>
      <c r="B2063" s="2" t="s">
        <v>2209</v>
      </c>
      <c r="C2063" s="2">
        <v>2.0</v>
      </c>
      <c r="E2063" s="14" t="s">
        <v>80</v>
      </c>
      <c r="F2063" s="15" t="str">
        <f>IFERROR(__xludf.DUMMYFUNCTION("GOOGLETRANSLATE(B2063,""en"",""ar"")"),"سوبر ماركت")</f>
        <v>سوبر ماركت</v>
      </c>
    </row>
    <row r="2064" ht="14.25" customHeight="1">
      <c r="A2064" s="5"/>
      <c r="B2064" s="2" t="s">
        <v>2210</v>
      </c>
      <c r="C2064" s="2">
        <v>2.0</v>
      </c>
      <c r="E2064" s="14" t="s">
        <v>95</v>
      </c>
      <c r="F2064" s="15" t="str">
        <f>IFERROR(__xludf.DUMMYFUNCTION("GOOGLETRANSLATE(B2064,""en"",""ar"")"),"المحيط")</f>
        <v>المحيط</v>
      </c>
    </row>
    <row r="2065" ht="14.25" customHeight="1">
      <c r="A2065" s="5"/>
      <c r="B2065" s="2" t="s">
        <v>2211</v>
      </c>
      <c r="C2065" s="2">
        <v>2.0</v>
      </c>
      <c r="E2065" s="14" t="s">
        <v>120</v>
      </c>
      <c r="F2065" s="15" t="str">
        <f>IFERROR(__xludf.DUMMYFUNCTION("GOOGLETRANSLATE(B2065,""en"",""ar"")"),"تحول")</f>
        <v>تحول</v>
      </c>
    </row>
    <row r="2066" ht="14.25" customHeight="1">
      <c r="A2066" s="5"/>
      <c r="B2066" s="2" t="s">
        <v>2212</v>
      </c>
      <c r="C2066" s="2">
        <v>2.0</v>
      </c>
      <c r="E2066" s="14" t="s">
        <v>113</v>
      </c>
      <c r="F2066" s="15" t="str">
        <f>IFERROR(__xludf.DUMMYFUNCTION("GOOGLETRANSLATE(B2066,""en"",""ar"")"),"كريه")</f>
        <v>كريه</v>
      </c>
    </row>
    <row r="2067" ht="14.25" customHeight="1">
      <c r="A2067" s="5"/>
      <c r="B2067" s="2" t="s">
        <v>2213</v>
      </c>
      <c r="C2067" s="2">
        <v>2.0</v>
      </c>
      <c r="E2067" s="14" t="s">
        <v>88</v>
      </c>
      <c r="F2067" s="15" t="str">
        <f>IFERROR(__xludf.DUMMYFUNCTION("GOOGLETRANSLATE(B2067,""en"",""ar"")"),"مرهق")</f>
        <v>مرهق</v>
      </c>
    </row>
    <row r="2068" ht="14.25" customHeight="1">
      <c r="A2068" s="5"/>
      <c r="B2068" s="2" t="s">
        <v>2214</v>
      </c>
      <c r="C2068" s="2">
        <v>2.0</v>
      </c>
      <c r="E2068" s="14" t="s">
        <v>80</v>
      </c>
      <c r="F2068" s="15" t="str">
        <f>IFERROR(__xludf.DUMMYFUNCTION("GOOGLETRANSLATE(B2068,""en"",""ar"")"),"لسان")</f>
        <v>لسان</v>
      </c>
    </row>
    <row r="2069" ht="14.25" customHeight="1">
      <c r="A2069" s="5"/>
      <c r="B2069" s="2" t="s">
        <v>2215</v>
      </c>
      <c r="C2069" s="2">
        <v>2.0</v>
      </c>
      <c r="E2069" s="14" t="s">
        <v>120</v>
      </c>
      <c r="F2069" s="15" t="str">
        <f>IFERROR(__xludf.DUMMYFUNCTION("GOOGLETRANSLATE(B2069,""en"",""ar"")"),"قمامة، يدمر، يهدم")</f>
        <v>قمامة، يدمر، يهدم</v>
      </c>
    </row>
    <row r="2070" ht="14.25" customHeight="1">
      <c r="A2070" s="5"/>
      <c r="B2070" s="2" t="s">
        <v>2216</v>
      </c>
      <c r="C2070" s="2">
        <v>2.0</v>
      </c>
      <c r="E2070" s="14" t="s">
        <v>120</v>
      </c>
      <c r="F2070" s="15" t="str">
        <f>IFERROR(__xludf.DUMMYFUNCTION("GOOGLETRANSLATE(B2070,""en"",""ar"")"),"نغم")</f>
        <v>نغم</v>
      </c>
    </row>
    <row r="2071" ht="14.25" customHeight="1">
      <c r="A2071" s="5"/>
      <c r="B2071" s="2" t="s">
        <v>2217</v>
      </c>
      <c r="C2071" s="2">
        <v>2.0</v>
      </c>
      <c r="E2071" s="14" t="s">
        <v>113</v>
      </c>
      <c r="F2071" s="15" t="str">
        <f>IFERROR(__xludf.DUMMYFUNCTION("GOOGLETRANSLATE(B2071,""en"",""ar"")"),"غير قادر")</f>
        <v>غير قادر</v>
      </c>
    </row>
    <row r="2072" ht="14.25" customHeight="1">
      <c r="A2072" s="5"/>
      <c r="B2072" s="2" t="s">
        <v>2218</v>
      </c>
      <c r="C2072" s="2">
        <v>2.0</v>
      </c>
      <c r="E2072" s="14" t="s">
        <v>13</v>
      </c>
      <c r="F2072" s="15" t="str">
        <f>IFERROR(__xludf.DUMMYFUNCTION("GOOGLETRANSLATE(B2072,""en"",""ar"")"),"حذر")</f>
        <v>حذر</v>
      </c>
    </row>
    <row r="2073" ht="14.25" customHeight="1">
      <c r="A2073" s="5"/>
      <c r="B2073" s="2" t="s">
        <v>2219</v>
      </c>
      <c r="C2073" s="2">
        <v>2.0</v>
      </c>
      <c r="E2073" s="14" t="s">
        <v>113</v>
      </c>
      <c r="F2073" s="15" t="str">
        <f>IFERROR(__xludf.DUMMYFUNCTION("GOOGLETRANSLATE(B2073,""en"",""ar"")"),"ضعيف")</f>
        <v>ضعيف</v>
      </c>
    </row>
    <row r="2074" ht="14.25" customHeight="1">
      <c r="A2074" s="5"/>
      <c r="B2074" s="2" t="s">
        <v>2220</v>
      </c>
      <c r="C2074" s="2">
        <v>2.0</v>
      </c>
      <c r="E2074" s="14" t="s">
        <v>80</v>
      </c>
      <c r="F2074" s="15" t="str">
        <f>IFERROR(__xludf.DUMMYFUNCTION("GOOGLETRANSLATE(B2074,""en"",""ar"")"),"ضعف")</f>
        <v>ضعف</v>
      </c>
    </row>
    <row r="2075" ht="14.25" customHeight="1">
      <c r="A2075" s="5"/>
      <c r="B2075" s="2" t="s">
        <v>2221</v>
      </c>
      <c r="C2075" s="2">
        <v>2.0</v>
      </c>
      <c r="E2075" s="14" t="s">
        <v>80</v>
      </c>
      <c r="F2075" s="15" t="str">
        <f>IFERROR(__xludf.DUMMYFUNCTION("GOOGLETRANSLATE(B2075,""en"",""ar"")"),"حفل زواج")</f>
        <v>حفل زواج</v>
      </c>
    </row>
    <row r="2076" ht="14.25" customHeight="1">
      <c r="A2076" s="5"/>
      <c r="B2076" s="2" t="s">
        <v>2222</v>
      </c>
      <c r="C2076" s="2">
        <v>2.0</v>
      </c>
      <c r="E2076" s="14" t="s">
        <v>113</v>
      </c>
      <c r="F2076" s="15" t="str">
        <f>IFERROR(__xludf.DUMMYFUNCTION("GOOGLETRANSLATE(B2076,""en"",""ar"")"),"خشبي")</f>
        <v>خشبي</v>
      </c>
    </row>
    <row r="2077" ht="14.25" customHeight="1">
      <c r="A2077" s="5"/>
      <c r="B2077" s="2" t="s">
        <v>2223</v>
      </c>
      <c r="C2077" s="2">
        <v>2.0</v>
      </c>
      <c r="E2077" s="14" t="s">
        <v>88</v>
      </c>
      <c r="F2077" s="15" t="str">
        <f>IFERROR(__xludf.DUMMYFUNCTION("GOOGLETRANSLATE(B2077,""en"",""ar"")"),"قلق")</f>
        <v>قلق</v>
      </c>
    </row>
    <row r="2078" ht="14.25" customHeight="1">
      <c r="A2078" s="5"/>
      <c r="B2078" s="2" t="s">
        <v>2224</v>
      </c>
      <c r="C2078" s="2">
        <v>2.0</v>
      </c>
      <c r="E2078" s="14" t="s">
        <v>307</v>
      </c>
      <c r="F2078" s="15" t="str">
        <f>IFERROR(__xludf.DUMMYFUNCTION("GOOGLETRANSLATE(B2078,""en"",""ar"")"),"بلى")</f>
        <v>بلى</v>
      </c>
    </row>
    <row r="2079" ht="14.25" customHeight="1">
      <c r="A2079" s="5"/>
      <c r="B2079" s="2" t="s">
        <v>2225</v>
      </c>
      <c r="C2079" s="2">
        <v>2.0</v>
      </c>
      <c r="E2079" s="14" t="s">
        <v>120</v>
      </c>
      <c r="F2079" s="15" t="str">
        <f>IFERROR(__xludf.DUMMYFUNCTION("GOOGLETRANSLATE(B2079,""en"",""ar"")"),"منطقة")</f>
        <v>منطقة</v>
      </c>
    </row>
    <row r="2080" ht="14.25" customHeight="1">
      <c r="A2080" s="5"/>
      <c r="B2080" s="2" t="s">
        <v>2226</v>
      </c>
      <c r="C2080" s="2">
        <v>1.0</v>
      </c>
      <c r="E2080" s="14" t="s">
        <v>13</v>
      </c>
      <c r="F2080" s="15" t="str">
        <f>IFERROR(__xludf.DUMMYFUNCTION("GOOGLETRANSLATE(B2080,""en"",""ar"")"),"اتهم")</f>
        <v>اتهم</v>
      </c>
    </row>
    <row r="2081" ht="14.25" customHeight="1">
      <c r="A2081" s="5"/>
      <c r="B2081" s="2" t="s">
        <v>2227</v>
      </c>
      <c r="C2081" s="2">
        <v>1.0</v>
      </c>
      <c r="E2081" s="14" t="s">
        <v>13</v>
      </c>
      <c r="F2081" s="15" t="str">
        <f>IFERROR(__xludf.DUMMYFUNCTION("GOOGLETRANSLATE(B2081,""en"",""ar"")"),"معجب")</f>
        <v>معجب</v>
      </c>
    </row>
    <row r="2082" ht="14.25" customHeight="1">
      <c r="A2082" s="5"/>
      <c r="B2082" s="2" t="s">
        <v>2228</v>
      </c>
      <c r="C2082" s="2">
        <v>1.0</v>
      </c>
      <c r="E2082" s="14" t="s">
        <v>13</v>
      </c>
      <c r="F2082" s="15" t="str">
        <f>IFERROR(__xludf.DUMMYFUNCTION("GOOGLETRANSLATE(B2082,""en"",""ar"")"),"يعترف")</f>
        <v>يعترف</v>
      </c>
    </row>
    <row r="2083" ht="14.25" customHeight="1">
      <c r="A2083" s="5"/>
      <c r="B2083" s="2" t="s">
        <v>2229</v>
      </c>
      <c r="C2083" s="2">
        <v>1.0</v>
      </c>
      <c r="E2083" s="14" t="s">
        <v>13</v>
      </c>
      <c r="F2083" s="15" t="str">
        <f>IFERROR(__xludf.DUMMYFUNCTION("GOOGLETRANSLATE(B2083,""en"",""ar"")"),"يتبنى")</f>
        <v>يتبنى</v>
      </c>
    </row>
    <row r="2084" ht="14.25" customHeight="1">
      <c r="A2084" s="5"/>
      <c r="B2084" s="2" t="s">
        <v>2230</v>
      </c>
      <c r="C2084" s="2">
        <v>1.0</v>
      </c>
      <c r="E2084" s="14" t="s">
        <v>80</v>
      </c>
      <c r="F2084" s="15" t="str">
        <f>IFERROR(__xludf.DUMMYFUNCTION("GOOGLETRANSLATE(B2084,""en"",""ar"")"),"قضية")</f>
        <v>قضية</v>
      </c>
    </row>
    <row r="2085" ht="14.25" customHeight="1">
      <c r="A2085" s="5"/>
      <c r="B2085" s="2" t="s">
        <v>2231</v>
      </c>
      <c r="C2085" s="2">
        <v>1.0</v>
      </c>
      <c r="E2085" s="14" t="s">
        <v>80</v>
      </c>
      <c r="F2085" s="15" t="str">
        <f>IFERROR(__xludf.DUMMYFUNCTION("GOOGLETRANSLATE(B2085,""en"",""ar"")"),"طموح")</f>
        <v>طموح</v>
      </c>
    </row>
    <row r="2086" ht="14.25" customHeight="1">
      <c r="A2086" s="5"/>
      <c r="B2086" s="2" t="s">
        <v>2232</v>
      </c>
      <c r="C2086" s="2">
        <v>1.0</v>
      </c>
      <c r="E2086" s="14" t="s">
        <v>80</v>
      </c>
      <c r="F2086" s="15" t="str">
        <f>IFERROR(__xludf.DUMMYFUNCTION("GOOGLETRANSLATE(B2086,""en"",""ar"")"),"المحلل")</f>
        <v>المحلل</v>
      </c>
    </row>
    <row r="2087" ht="14.25" customHeight="1">
      <c r="A2087" s="5"/>
      <c r="B2087" s="2" t="s">
        <v>2233</v>
      </c>
      <c r="C2087" s="2">
        <v>1.0</v>
      </c>
      <c r="E2087" s="14" t="s">
        <v>120</v>
      </c>
      <c r="F2087" s="15" t="str">
        <f>IFERROR(__xludf.DUMMYFUNCTION("GOOGLETRANSLATE(B2087,""en"",""ar"")"),"الغضب")</f>
        <v>الغضب</v>
      </c>
    </row>
    <row r="2088" ht="14.25" customHeight="1">
      <c r="A2088" s="5"/>
      <c r="B2088" s="2" t="s">
        <v>2234</v>
      </c>
      <c r="C2088" s="2">
        <v>1.0</v>
      </c>
      <c r="E2088" s="14" t="s">
        <v>13</v>
      </c>
      <c r="F2088" s="15" t="str">
        <f>IFERROR(__xludf.DUMMYFUNCTION("GOOGLETRANSLATE(B2088,""en"",""ar"")"),"يعلن")</f>
        <v>يعلن</v>
      </c>
    </row>
    <row r="2089" ht="14.25" customHeight="1">
      <c r="A2089" s="5"/>
      <c r="B2089" s="2" t="s">
        <v>2235</v>
      </c>
      <c r="C2089" s="2">
        <v>1.0</v>
      </c>
      <c r="E2089" s="14" t="s">
        <v>15</v>
      </c>
      <c r="F2089" s="15" t="str">
        <f>IFERROR(__xludf.DUMMYFUNCTION("GOOGLETRANSLATE(B2089,""en"",""ar"")"),"اي شخص")</f>
        <v>اي شخص</v>
      </c>
    </row>
    <row r="2090" ht="14.25" customHeight="1">
      <c r="A2090" s="5"/>
      <c r="B2090" s="2" t="s">
        <v>2236</v>
      </c>
      <c r="C2090" s="2">
        <v>1.0</v>
      </c>
      <c r="E2090" s="14" t="s">
        <v>13</v>
      </c>
      <c r="F2090" s="15" t="str">
        <f>IFERROR(__xludf.DUMMYFUNCTION("GOOGLETRANSLATE(B2090,""en"",""ar"")"),"يعتذر")</f>
        <v>يعتذر</v>
      </c>
    </row>
    <row r="2091" ht="14.25" customHeight="1">
      <c r="A2091" s="5"/>
      <c r="B2091" s="2" t="s">
        <v>2237</v>
      </c>
      <c r="C2091" s="2">
        <v>1.0</v>
      </c>
      <c r="E2091" s="14" t="s">
        <v>80</v>
      </c>
      <c r="F2091" s="15" t="str">
        <f>IFERROR(__xludf.DUMMYFUNCTION("GOOGLETRANSLATE(B2091,""en"",""ar"")"),"تفاح")</f>
        <v>تفاح</v>
      </c>
    </row>
    <row r="2092" ht="14.25" customHeight="1">
      <c r="A2092" s="5"/>
      <c r="B2092" s="2" t="s">
        <v>2238</v>
      </c>
      <c r="C2092" s="2">
        <v>1.0</v>
      </c>
      <c r="E2092" s="14" t="s">
        <v>13</v>
      </c>
      <c r="F2092" s="15" t="str">
        <f>IFERROR(__xludf.DUMMYFUNCTION("GOOGLETRANSLATE(B2092,""en"",""ar"")"),"يوافق")</f>
        <v>يوافق</v>
      </c>
    </row>
    <row r="2093" ht="14.25" customHeight="1">
      <c r="A2093" s="5"/>
      <c r="B2093" s="2" t="s">
        <v>2239</v>
      </c>
      <c r="C2093" s="2">
        <v>1.0</v>
      </c>
      <c r="E2093" s="14" t="s">
        <v>113</v>
      </c>
      <c r="F2093" s="15" t="str">
        <f>IFERROR(__xludf.DUMMYFUNCTION("GOOGLETRANSLATE(B2093,""en"",""ar"")"),"نائم")</f>
        <v>نائم</v>
      </c>
    </row>
    <row r="2094" ht="14.25" customHeight="1">
      <c r="A2094" s="5"/>
      <c r="B2094" s="2" t="s">
        <v>2240</v>
      </c>
      <c r="C2094" s="2">
        <v>1.0</v>
      </c>
      <c r="E2094" s="14" t="s">
        <v>80</v>
      </c>
      <c r="F2094" s="15" t="str">
        <f>IFERROR(__xludf.DUMMYFUNCTION("GOOGLETRANSLATE(B2094,""en"",""ar"")"),"مهمة")</f>
        <v>مهمة</v>
      </c>
    </row>
    <row r="2095" ht="14.25" customHeight="1">
      <c r="A2095" s="5"/>
      <c r="B2095" s="2" t="s">
        <v>2241</v>
      </c>
      <c r="C2095" s="2">
        <v>1.0</v>
      </c>
      <c r="E2095" s="14" t="s">
        <v>80</v>
      </c>
      <c r="F2095" s="15" t="str">
        <f>IFERROR(__xludf.DUMMYFUNCTION("GOOGLETRANSLATE(B2095,""en"",""ar"")"),"مساعد")</f>
        <v>مساعد</v>
      </c>
    </row>
    <row r="2096" ht="14.25" customHeight="1">
      <c r="A2096" s="5"/>
      <c r="B2096" s="2" t="s">
        <v>2242</v>
      </c>
      <c r="C2096" s="2">
        <v>1.0</v>
      </c>
      <c r="E2096" s="14" t="s">
        <v>13</v>
      </c>
      <c r="F2096" s="15" t="str">
        <f>IFERROR(__xludf.DUMMYFUNCTION("GOOGLETRANSLATE(B2096,""en"",""ar"")"),"حضر")</f>
        <v>حضر</v>
      </c>
    </row>
    <row r="2097" ht="14.25" customHeight="1">
      <c r="A2097" s="5"/>
      <c r="B2097" s="2" t="s">
        <v>2243</v>
      </c>
      <c r="C2097" s="2">
        <v>1.0</v>
      </c>
      <c r="E2097" s="14" t="s">
        <v>120</v>
      </c>
      <c r="F2097" s="15" t="str">
        <f>IFERROR(__xludf.DUMMYFUNCTION("GOOGLETRANSLATE(B2097,""en"",""ar"")"),"جائزة")</f>
        <v>جائزة</v>
      </c>
    </row>
    <row r="2098" ht="14.25" customHeight="1">
      <c r="A2098" s="5"/>
      <c r="B2098" s="2" t="s">
        <v>2244</v>
      </c>
      <c r="C2098" s="2">
        <v>1.0</v>
      </c>
      <c r="E2098" s="14" t="s">
        <v>80</v>
      </c>
      <c r="F2098" s="15" t="str">
        <f>IFERROR(__xludf.DUMMYFUNCTION("GOOGLETRANSLATE(B2098,""en"",""ar"")"),"دوره المياه")</f>
        <v>دوره المياه</v>
      </c>
    </row>
    <row r="2099" ht="14.25" customHeight="1">
      <c r="A2099" s="5"/>
      <c r="B2099" s="2" t="s">
        <v>2245</v>
      </c>
      <c r="C2099" s="2">
        <v>1.0</v>
      </c>
      <c r="E2099" s="14" t="s">
        <v>95</v>
      </c>
      <c r="F2099" s="15" t="str">
        <f>IFERROR(__xludf.DUMMYFUNCTION("GOOGLETRANSLATE(B2099,""en"",""ar"")"),"دب")</f>
        <v>دب</v>
      </c>
    </row>
    <row r="2100" ht="14.25" customHeight="1">
      <c r="A2100" s="5"/>
      <c r="B2100" s="2" t="s">
        <v>2246</v>
      </c>
      <c r="C2100" s="2">
        <v>1.0</v>
      </c>
      <c r="E2100" s="14" t="s">
        <v>80</v>
      </c>
      <c r="F2100" s="15" t="str">
        <f>IFERROR(__xludf.DUMMYFUNCTION("GOOGLETRANSLATE(B2100,""en"",""ar"")"),"غرفة نوم")</f>
        <v>غرفة نوم</v>
      </c>
    </row>
    <row r="2101" ht="14.25" customHeight="1">
      <c r="A2101" s="5"/>
      <c r="B2101" s="2" t="s">
        <v>2247</v>
      </c>
      <c r="C2101" s="2">
        <v>1.0</v>
      </c>
      <c r="E2101" s="14" t="s">
        <v>80</v>
      </c>
      <c r="F2101" s="15" t="str">
        <f>IFERROR(__xludf.DUMMYFUNCTION("GOOGLETRANSLATE(B2101,""en"",""ar"")"),"بيرة")</f>
        <v>بيرة</v>
      </c>
    </row>
    <row r="2102" ht="14.25" customHeight="1">
      <c r="A2102" s="5"/>
      <c r="B2102" s="2" t="s">
        <v>2248</v>
      </c>
      <c r="C2102" s="2">
        <v>1.0</v>
      </c>
      <c r="E2102" s="14" t="s">
        <v>13</v>
      </c>
      <c r="F2102" s="15" t="str">
        <f>IFERROR(__xludf.DUMMYFUNCTION("GOOGLETRANSLATE(B2102,""en"",""ar"")"),"ينتمي ل")</f>
        <v>ينتمي ل</v>
      </c>
    </row>
    <row r="2103" ht="14.25" customHeight="1">
      <c r="A2103" s="5"/>
      <c r="B2103" s="2" t="s">
        <v>2249</v>
      </c>
      <c r="C2103" s="2">
        <v>1.0</v>
      </c>
      <c r="E2103" s="14" t="s">
        <v>120</v>
      </c>
      <c r="F2103" s="15" t="str">
        <f>IFERROR(__xludf.DUMMYFUNCTION("GOOGLETRANSLATE(B2103,""en"",""ar"")"),"المناقصة")</f>
        <v>المناقصة</v>
      </c>
    </row>
    <row r="2104" ht="14.25" customHeight="1">
      <c r="A2104" s="5"/>
      <c r="B2104" s="2" t="s">
        <v>2250</v>
      </c>
      <c r="C2104" s="2">
        <v>1.0</v>
      </c>
      <c r="E2104" s="14" t="s">
        <v>80</v>
      </c>
      <c r="F2104" s="15" t="str">
        <f>IFERROR(__xludf.DUMMYFUNCTION("GOOGLETRANSLATE(B2104,""en"",""ar"")"),"عيد الميلاد")</f>
        <v>عيد الميلاد</v>
      </c>
    </row>
    <row r="2105" ht="14.25" customHeight="1">
      <c r="A2105" s="5"/>
      <c r="B2105" s="2" t="s">
        <v>2251</v>
      </c>
      <c r="C2105" s="2">
        <v>1.0</v>
      </c>
      <c r="E2105" s="14" t="s">
        <v>149</v>
      </c>
      <c r="F2105" s="15" t="str">
        <f>IFERROR(__xludf.DUMMYFUNCTION("GOOGLETRANSLATE(B2105,""en"",""ar"")"),"مر")</f>
        <v>مر</v>
      </c>
    </row>
    <row r="2106" ht="14.25" customHeight="1">
      <c r="A2106" s="5"/>
      <c r="B2106" s="2" t="s">
        <v>2252</v>
      </c>
      <c r="C2106" s="2">
        <v>1.0</v>
      </c>
      <c r="E2106" s="14" t="s">
        <v>120</v>
      </c>
      <c r="F2106" s="15" t="str">
        <f>IFERROR(__xludf.DUMMYFUNCTION("GOOGLETRANSLATE(B2106,""en"",""ar"")"),"حذاء طويل")</f>
        <v>حذاء طويل</v>
      </c>
    </row>
    <row r="2107" ht="14.25" customHeight="1">
      <c r="A2107" s="5"/>
      <c r="B2107" s="2" t="s">
        <v>2253</v>
      </c>
      <c r="C2107" s="2">
        <v>1.0</v>
      </c>
      <c r="E2107" s="14" t="s">
        <v>236</v>
      </c>
      <c r="F2107" s="15" t="str">
        <f>IFERROR(__xludf.DUMMYFUNCTION("GOOGLETRANSLATE(B2107,""en"",""ar"")"),"متألق")</f>
        <v>متألق</v>
      </c>
    </row>
    <row r="2108" ht="14.25" customHeight="1">
      <c r="A2108" s="5"/>
      <c r="B2108" s="2" t="s">
        <v>2254</v>
      </c>
      <c r="C2108" s="2">
        <v>1.0</v>
      </c>
      <c r="E2108" s="14" t="s">
        <v>120</v>
      </c>
      <c r="F2108" s="15" t="str">
        <f>IFERROR(__xludf.DUMMYFUNCTION("GOOGLETRANSLATE(B2108,""en"",""ar"")"),"حشرة")</f>
        <v>حشرة</v>
      </c>
    </row>
    <row r="2109" ht="14.25" customHeight="1">
      <c r="A2109" s="5"/>
      <c r="B2109" s="2" t="s">
        <v>2255</v>
      </c>
      <c r="C2109" s="2">
        <v>1.0</v>
      </c>
      <c r="E2109" s="14" t="s">
        <v>129</v>
      </c>
      <c r="F2109" s="15" t="str">
        <f>IFERROR(__xludf.DUMMYFUNCTION("GOOGLETRANSLATE(B2109,""en"",""ar"")"),"معسكر")</f>
        <v>معسكر</v>
      </c>
    </row>
    <row r="2110" ht="14.25" customHeight="1">
      <c r="A2110" s="5"/>
      <c r="B2110" s="2" t="s">
        <v>2256</v>
      </c>
      <c r="C2110" s="2">
        <v>1.0</v>
      </c>
      <c r="E2110" s="14" t="s">
        <v>120</v>
      </c>
      <c r="F2110" s="15" t="str">
        <f>IFERROR(__xludf.DUMMYFUNCTION("GOOGLETRANSLATE(B2110,""en"",""ar"")"),"حلويات")</f>
        <v>حلويات</v>
      </c>
    </row>
    <row r="2111" ht="14.25" customHeight="1">
      <c r="A2111" s="5"/>
      <c r="B2111" s="2" t="s">
        <v>2257</v>
      </c>
      <c r="C2111" s="2">
        <v>1.0</v>
      </c>
      <c r="E2111" s="14" t="s">
        <v>120</v>
      </c>
      <c r="F2111" s="15" t="str">
        <f>IFERROR(__xludf.DUMMYFUNCTION("GOOGLETRANSLATE(B2111,""en"",""ar"")"),"السجاد")</f>
        <v>السجاد</v>
      </c>
    </row>
    <row r="2112" ht="14.25" customHeight="1">
      <c r="A2112" s="5"/>
      <c r="B2112" s="2" t="s">
        <v>2258</v>
      </c>
      <c r="C2112" s="2">
        <v>1.0</v>
      </c>
      <c r="E2112" s="14" t="s">
        <v>120</v>
      </c>
      <c r="F2112" s="15" t="str">
        <f>IFERROR(__xludf.DUMMYFUNCTION("GOOGLETRANSLATE(B2112,""en"",""ar"")"),"قطة")</f>
        <v>قطة</v>
      </c>
    </row>
    <row r="2113" ht="14.25" customHeight="1">
      <c r="A2113" s="5"/>
      <c r="B2113" s="2" t="s">
        <v>2259</v>
      </c>
      <c r="C2113" s="2">
        <v>1.0</v>
      </c>
      <c r="E2113" s="14" t="s">
        <v>80</v>
      </c>
      <c r="F2113" s="15" t="str">
        <f>IFERROR(__xludf.DUMMYFUNCTION("GOOGLETRANSLATE(B2113,""en"",""ar"")"),"احتفال")</f>
        <v>احتفال</v>
      </c>
    </row>
    <row r="2114" ht="14.25" customHeight="1">
      <c r="A2114" s="5"/>
      <c r="B2114" s="2" t="s">
        <v>2260</v>
      </c>
      <c r="C2114" s="2">
        <v>1.0</v>
      </c>
      <c r="E2114" s="14" t="s">
        <v>120</v>
      </c>
      <c r="F2114" s="15" t="str">
        <f>IFERROR(__xludf.DUMMYFUNCTION("GOOGLETRANSLATE(B2114,""en"",""ar"")"),"بطل")</f>
        <v>بطل</v>
      </c>
    </row>
    <row r="2115" ht="14.25" customHeight="1">
      <c r="A2115" s="5"/>
      <c r="B2115" s="2" t="s">
        <v>2261</v>
      </c>
      <c r="C2115" s="2">
        <v>1.0</v>
      </c>
      <c r="E2115" s="14" t="s">
        <v>80</v>
      </c>
      <c r="F2115" s="15" t="str">
        <f>IFERROR(__xludf.DUMMYFUNCTION("GOOGLETRANSLATE(B2115,""en"",""ar"")"),"بطولة")</f>
        <v>بطولة</v>
      </c>
    </row>
    <row r="2116" ht="14.25" customHeight="1">
      <c r="A2116" s="5"/>
      <c r="B2116" s="2" t="s">
        <v>2262</v>
      </c>
      <c r="C2116" s="2">
        <v>1.0</v>
      </c>
      <c r="E2116" s="14" t="s">
        <v>120</v>
      </c>
      <c r="F2116" s="15" t="str">
        <f>IFERROR(__xludf.DUMMYFUNCTION("GOOGLETRANSLATE(B2116,""en"",""ar"")"),"قناة")</f>
        <v>قناة</v>
      </c>
    </row>
    <row r="2117" ht="14.25" customHeight="1">
      <c r="A2117" s="5"/>
      <c r="B2117" s="2" t="s">
        <v>2263</v>
      </c>
      <c r="C2117" s="2">
        <v>1.0</v>
      </c>
      <c r="E2117" s="14" t="s">
        <v>80</v>
      </c>
      <c r="F2117" s="15" t="str">
        <f>IFERROR(__xludf.DUMMYFUNCTION("GOOGLETRANSLATE(B2117,""en"",""ar"")"),"الخد")</f>
        <v>الخد</v>
      </c>
    </row>
    <row r="2118" ht="14.25" customHeight="1">
      <c r="A2118" s="5"/>
      <c r="B2118" s="2" t="s">
        <v>2264</v>
      </c>
      <c r="C2118" s="2">
        <v>1.0</v>
      </c>
      <c r="E2118" s="14" t="s">
        <v>80</v>
      </c>
      <c r="F2118" s="15" t="str">
        <f>IFERROR(__xludf.DUMMYFUNCTION("GOOGLETRANSLATE(B2118,""en"",""ar"")"),"عميل")</f>
        <v>عميل</v>
      </c>
    </row>
    <row r="2119" ht="14.25" customHeight="1">
      <c r="A2119" s="5"/>
      <c r="B2119" s="2" t="s">
        <v>2265</v>
      </c>
      <c r="C2119" s="2">
        <v>1.0</v>
      </c>
      <c r="E2119" s="14" t="s">
        <v>120</v>
      </c>
      <c r="F2119" s="15" t="str">
        <f>IFERROR(__xludf.DUMMYFUNCTION("GOOGLETRANSLATE(B2119,""en"",""ar"")"),"ساعة حائط")</f>
        <v>ساعة حائط</v>
      </c>
    </row>
    <row r="2120" ht="14.25" customHeight="1">
      <c r="A2120" s="5"/>
      <c r="B2120" s="2" t="s">
        <v>2266</v>
      </c>
      <c r="C2120" s="2">
        <v>1.0</v>
      </c>
      <c r="E2120" s="14" t="s">
        <v>120</v>
      </c>
      <c r="F2120" s="15" t="str">
        <f>IFERROR(__xludf.DUMMYFUNCTION("GOOGLETRANSLATE(B2120,""en"",""ar"")"),"راحة")</f>
        <v>راحة</v>
      </c>
    </row>
    <row r="2121" ht="14.25" customHeight="1">
      <c r="A2121" s="5"/>
      <c r="B2121" s="2" t="s">
        <v>2267</v>
      </c>
      <c r="C2121" s="2">
        <v>1.0</v>
      </c>
      <c r="E2121" s="14" t="s">
        <v>13</v>
      </c>
      <c r="F2121" s="15" t="str">
        <f>IFERROR(__xludf.DUMMYFUNCTION("GOOGLETRANSLATE(B2121,""en"",""ar"")"),"ارتكب")</f>
        <v>ارتكب</v>
      </c>
    </row>
    <row r="2122" ht="14.25" customHeight="1">
      <c r="A2122" s="5"/>
      <c r="B2122" s="2" t="s">
        <v>2268</v>
      </c>
      <c r="C2122" s="2">
        <v>1.0</v>
      </c>
      <c r="E2122" s="14" t="s">
        <v>113</v>
      </c>
      <c r="F2122" s="15" t="str">
        <f>IFERROR(__xludf.DUMMYFUNCTION("GOOGLETRANSLATE(B2122,""en"",""ar"")"),"واثق")</f>
        <v>واثق</v>
      </c>
    </row>
    <row r="2123" ht="14.25" customHeight="1">
      <c r="A2123" s="5"/>
      <c r="B2123" s="2" t="s">
        <v>2269</v>
      </c>
      <c r="C2123" s="2">
        <v>1.0</v>
      </c>
      <c r="E2123" s="14" t="s">
        <v>113</v>
      </c>
      <c r="F2123" s="15" t="str">
        <f>IFERROR(__xludf.DUMMYFUNCTION("GOOGLETRANSLATE(B2123,""en"",""ar"")"),"واع")</f>
        <v>واع</v>
      </c>
    </row>
    <row r="2124" ht="14.25" customHeight="1">
      <c r="A2124" s="5"/>
      <c r="B2124" s="2" t="s">
        <v>2270</v>
      </c>
      <c r="C2124" s="2">
        <v>1.0</v>
      </c>
      <c r="E2124" s="14" t="s">
        <v>80</v>
      </c>
      <c r="F2124" s="15" t="str">
        <f>IFERROR(__xludf.DUMMYFUNCTION("GOOGLETRANSLATE(B2124,""en"",""ar"")"),"عاقبة")</f>
        <v>عاقبة</v>
      </c>
    </row>
    <row r="2125" ht="14.25" customHeight="1">
      <c r="A2125" s="5"/>
      <c r="B2125" s="2" t="s">
        <v>2271</v>
      </c>
      <c r="C2125" s="2">
        <v>1.0</v>
      </c>
      <c r="E2125" s="14" t="s">
        <v>120</v>
      </c>
      <c r="F2125" s="15" t="str">
        <f>IFERROR(__xludf.DUMMYFUNCTION("GOOGLETRANSLATE(B2125,""en"",""ar"")"),"بقرة")</f>
        <v>بقرة</v>
      </c>
    </row>
    <row r="2126" ht="14.25" customHeight="1">
      <c r="A2126" s="5"/>
      <c r="B2126" s="2" t="s">
        <v>2272</v>
      </c>
      <c r="C2126" s="2">
        <v>1.0</v>
      </c>
      <c r="E2126" s="14" t="s">
        <v>129</v>
      </c>
      <c r="F2126" s="15" t="str">
        <f>IFERROR(__xludf.DUMMYFUNCTION("GOOGLETRANSLATE(B2126,""en"",""ar"")"),"كسر")</f>
        <v>كسر</v>
      </c>
    </row>
    <row r="2127" ht="14.25" customHeight="1">
      <c r="A2127" s="5"/>
      <c r="B2127" s="2" t="s">
        <v>2273</v>
      </c>
      <c r="C2127" s="2">
        <v>1.0</v>
      </c>
      <c r="E2127" s="14" t="s">
        <v>13</v>
      </c>
      <c r="F2127" s="15" t="str">
        <f>IFERROR(__xludf.DUMMYFUNCTION("GOOGLETRANSLATE(B2127,""en"",""ar"")"),"ينتقد")</f>
        <v>ينتقد</v>
      </c>
    </row>
    <row r="2128" ht="14.25" customHeight="1">
      <c r="A2128" s="5"/>
      <c r="B2128" s="2" t="s">
        <v>2274</v>
      </c>
      <c r="C2128" s="2">
        <v>1.0</v>
      </c>
      <c r="E2128" s="14" t="s">
        <v>95</v>
      </c>
      <c r="F2128" s="15" t="str">
        <f>IFERROR(__xludf.DUMMYFUNCTION("GOOGLETRANSLATE(B2128,""en"",""ar"")"),"تجرؤ")</f>
        <v>تجرؤ</v>
      </c>
    </row>
    <row r="2129" ht="14.25" customHeight="1">
      <c r="A2129" s="5"/>
      <c r="B2129" s="2" t="s">
        <v>2275</v>
      </c>
      <c r="C2129" s="2">
        <v>1.0</v>
      </c>
      <c r="E2129" s="14" t="s">
        <v>127</v>
      </c>
      <c r="F2129" s="15" t="str">
        <f>IFERROR(__xludf.DUMMYFUNCTION("GOOGLETRANSLATE(B2129,""en"",""ar"")"),"العزيز")</f>
        <v>العزيز</v>
      </c>
    </row>
    <row r="2130" ht="14.25" customHeight="1">
      <c r="A2130" s="5"/>
      <c r="B2130" s="2" t="s">
        <v>2276</v>
      </c>
      <c r="C2130" s="2">
        <v>1.0</v>
      </c>
      <c r="E2130" s="14" t="s">
        <v>113</v>
      </c>
      <c r="F2130" s="15" t="str">
        <f>IFERROR(__xludf.DUMMYFUNCTION("GOOGLETRANSLATE(B2130,""en"",""ar"")"),"مقبول")</f>
        <v>مقبول</v>
      </c>
    </row>
    <row r="2131" ht="14.25" customHeight="1">
      <c r="A2131" s="5"/>
      <c r="B2131" s="2" t="s">
        <v>2277</v>
      </c>
      <c r="C2131" s="2">
        <v>1.0</v>
      </c>
      <c r="E2131" s="14" t="s">
        <v>95</v>
      </c>
      <c r="F2131" s="15" t="str">
        <f>IFERROR(__xludf.DUMMYFUNCTION("GOOGLETRANSLATE(B2131,""en"",""ar"")"),"تأخير")</f>
        <v>تأخير</v>
      </c>
    </row>
    <row r="2132" ht="14.25" customHeight="1">
      <c r="A2132" s="5"/>
      <c r="B2132" s="2" t="s">
        <v>2278</v>
      </c>
      <c r="C2132" s="2">
        <v>1.0</v>
      </c>
      <c r="E2132" s="14" t="s">
        <v>80</v>
      </c>
      <c r="F2132" s="15" t="str">
        <f>IFERROR(__xludf.DUMMYFUNCTION("GOOGLETRANSLATE(B2132,""en"",""ar"")"),"الاقلاع")</f>
        <v>الاقلاع</v>
      </c>
    </row>
    <row r="2133" ht="14.25" customHeight="1">
      <c r="A2133" s="5"/>
      <c r="B2133" s="2" t="s">
        <v>2279</v>
      </c>
      <c r="C2133" s="2">
        <v>1.0</v>
      </c>
      <c r="E2133" s="14" t="s">
        <v>13</v>
      </c>
      <c r="F2133" s="15" t="str">
        <f>IFERROR(__xludf.DUMMYFUNCTION("GOOGLETRANSLATE(B2133,""en"",""ar"")"),"استحق")</f>
        <v>استحق</v>
      </c>
    </row>
    <row r="2134" ht="14.25" customHeight="1">
      <c r="A2134" s="5"/>
      <c r="B2134" s="2" t="s">
        <v>2280</v>
      </c>
      <c r="C2134" s="2">
        <v>1.0</v>
      </c>
      <c r="E2134" s="14" t="s">
        <v>13</v>
      </c>
      <c r="F2134" s="15" t="str">
        <f>IFERROR(__xludf.DUMMYFUNCTION("GOOGLETRANSLATE(B2134,""en"",""ar"")"),"هدم")</f>
        <v>هدم</v>
      </c>
    </row>
    <row r="2135" ht="14.25" customHeight="1">
      <c r="A2135" s="5"/>
      <c r="B2135" s="2" t="s">
        <v>2281</v>
      </c>
      <c r="C2135" s="2">
        <v>1.0</v>
      </c>
      <c r="E2135" s="14" t="s">
        <v>80</v>
      </c>
      <c r="F2135" s="15" t="str">
        <f>IFERROR(__xludf.DUMMYFUNCTION("GOOGLETRANSLATE(B2135,""en"",""ar"")"),"الماس")</f>
        <v>الماس</v>
      </c>
    </row>
    <row r="2136" ht="14.25" customHeight="1">
      <c r="A2136" s="5"/>
      <c r="B2136" s="2" t="s">
        <v>2282</v>
      </c>
      <c r="C2136" s="2">
        <v>1.0</v>
      </c>
      <c r="E2136" s="14" t="s">
        <v>80</v>
      </c>
      <c r="F2136" s="15" t="str">
        <f>IFERROR(__xludf.DUMMYFUNCTION("GOOGLETRANSLATE(B2136,""en"",""ar"")"),"التراب")</f>
        <v>التراب</v>
      </c>
    </row>
    <row r="2137" ht="14.25" customHeight="1">
      <c r="A2137" s="5"/>
      <c r="B2137" s="2" t="s">
        <v>2283</v>
      </c>
      <c r="C2137" s="2">
        <v>1.0</v>
      </c>
      <c r="E2137" s="14" t="s">
        <v>88</v>
      </c>
      <c r="F2137" s="15" t="str">
        <f>IFERROR(__xludf.DUMMYFUNCTION("GOOGLETRANSLATE(B2137,""en"",""ar"")"),"خائب الامل")</f>
        <v>خائب الامل</v>
      </c>
    </row>
    <row r="2138" ht="14.25" customHeight="1">
      <c r="A2138" s="5"/>
      <c r="B2138" s="2" t="s">
        <v>2284</v>
      </c>
      <c r="C2138" s="2">
        <v>1.0</v>
      </c>
      <c r="E2138" s="14" t="s">
        <v>236</v>
      </c>
      <c r="F2138" s="15" t="str">
        <f>IFERROR(__xludf.DUMMYFUNCTION("GOOGLETRANSLATE(B2138,""en"",""ar"")"),"سكران")</f>
        <v>سكران</v>
      </c>
    </row>
    <row r="2139" ht="14.25" customHeight="1">
      <c r="A2139" s="5"/>
      <c r="B2139" s="2" t="s">
        <v>2285</v>
      </c>
      <c r="C2139" s="2">
        <v>1.0</v>
      </c>
      <c r="E2139" s="14" t="s">
        <v>80</v>
      </c>
      <c r="F2139" s="15" t="str">
        <f>IFERROR(__xludf.DUMMYFUNCTION("GOOGLETRANSLATE(B2139,""en"",""ar"")"),"أذن")</f>
        <v>أذن</v>
      </c>
    </row>
    <row r="2140" ht="14.25" customHeight="1">
      <c r="A2140" s="5"/>
      <c r="B2140" s="2" t="s">
        <v>2286</v>
      </c>
      <c r="C2140" s="2">
        <v>1.0</v>
      </c>
      <c r="E2140" s="14" t="s">
        <v>113</v>
      </c>
      <c r="F2140" s="15" t="str">
        <f>IFERROR(__xludf.DUMMYFUNCTION("GOOGLETRANSLATE(B2140,""en"",""ar"")"),"مُحرَج")</f>
        <v>مُحرَج</v>
      </c>
    </row>
    <row r="2141" ht="14.25" customHeight="1">
      <c r="A2141" s="5"/>
      <c r="B2141" s="2" t="s">
        <v>2287</v>
      </c>
      <c r="C2141" s="2">
        <v>1.0</v>
      </c>
      <c r="E2141" s="14" t="s">
        <v>510</v>
      </c>
      <c r="F2141" s="15" t="str">
        <f>IFERROR(__xludf.DUMMYFUNCTION("GOOGLETRANSLATE(B2141,""en"",""ar"")"),"فارغة")</f>
        <v>فارغة</v>
      </c>
    </row>
    <row r="2142" ht="14.25" customHeight="1">
      <c r="A2142" s="5"/>
      <c r="B2142" s="2" t="s">
        <v>2288</v>
      </c>
      <c r="C2142" s="2">
        <v>1.0</v>
      </c>
      <c r="E2142" s="14" t="s">
        <v>120</v>
      </c>
      <c r="F2142" s="15" t="str">
        <f>IFERROR(__xludf.DUMMYFUNCTION("GOOGLETRANSLATE(B2142,""en"",""ar"")"),"مهندس")</f>
        <v>مهندس</v>
      </c>
    </row>
    <row r="2143" ht="14.25" customHeight="1">
      <c r="A2143" s="5"/>
      <c r="B2143" s="2" t="s">
        <v>2289</v>
      </c>
      <c r="C2143" s="2">
        <v>1.0</v>
      </c>
      <c r="E2143" s="14" t="s">
        <v>120</v>
      </c>
      <c r="F2143" s="15" t="str">
        <f>IFERROR(__xludf.DUMMYFUNCTION("GOOGLETRANSLATE(B2143,""en"",""ar"")"),"مدخل")</f>
        <v>مدخل</v>
      </c>
    </row>
    <row r="2144" ht="14.25" customHeight="1">
      <c r="A2144" s="5"/>
      <c r="B2144" s="2" t="s">
        <v>2290</v>
      </c>
      <c r="C2144" s="2">
        <v>1.0</v>
      </c>
      <c r="E2144" s="14" t="s">
        <v>120</v>
      </c>
      <c r="F2144" s="15" t="str">
        <f>IFERROR(__xludf.DUMMYFUNCTION("GOOGLETRANSLATE(B2144,""en"",""ar"")"),"خطأ")</f>
        <v>خطأ</v>
      </c>
    </row>
    <row r="2145" ht="14.25" customHeight="1">
      <c r="A2145" s="5"/>
      <c r="B2145" s="2" t="s">
        <v>2291</v>
      </c>
      <c r="C2145" s="2">
        <v>1.0</v>
      </c>
      <c r="E2145" s="14" t="s">
        <v>236</v>
      </c>
      <c r="F2145" s="15" t="str">
        <f>IFERROR(__xludf.DUMMYFUNCTION("GOOGLETRANSLATE(B2145,""en"",""ar"")"),"أنثى")</f>
        <v>أنثى</v>
      </c>
    </row>
    <row r="2146" ht="14.25" customHeight="1">
      <c r="A2146" s="5"/>
      <c r="B2146" s="2" t="s">
        <v>2292</v>
      </c>
      <c r="C2146" s="2">
        <v>1.0</v>
      </c>
      <c r="E2146" s="14" t="s">
        <v>80</v>
      </c>
      <c r="F2146" s="15" t="str">
        <f>IFERROR(__xludf.DUMMYFUNCTION("GOOGLETRANSLATE(B2146,""en"",""ar"")"),"حظ")</f>
        <v>حظ</v>
      </c>
    </row>
    <row r="2147" ht="14.25" customHeight="1">
      <c r="A2147" s="5"/>
      <c r="B2147" s="2" t="s">
        <v>2293</v>
      </c>
      <c r="C2147" s="2">
        <v>1.0</v>
      </c>
      <c r="E2147" s="14" t="s">
        <v>80</v>
      </c>
      <c r="F2147" s="15" t="str">
        <f>IFERROR(__xludf.DUMMYFUNCTION("GOOGLETRANSLATE(B2147,""en"",""ar"")"),"صداقة")</f>
        <v>صداقة</v>
      </c>
    </row>
    <row r="2148" ht="14.25" customHeight="1">
      <c r="A2148" s="5"/>
      <c r="B2148" s="2" t="s">
        <v>2294</v>
      </c>
      <c r="C2148" s="2">
        <v>1.0</v>
      </c>
      <c r="E2148" s="14" t="s">
        <v>80</v>
      </c>
      <c r="F2148" s="15" t="str">
        <f>IFERROR(__xludf.DUMMYFUNCTION("GOOGLETRANSLATE(B2148,""en"",""ar"")"),"جنازة")</f>
        <v>جنازة</v>
      </c>
    </row>
    <row r="2149" ht="14.25" customHeight="1">
      <c r="A2149" s="5"/>
      <c r="B2149" s="2" t="s">
        <v>2295</v>
      </c>
      <c r="C2149" s="2">
        <v>1.0</v>
      </c>
      <c r="E2149" s="14" t="s">
        <v>80</v>
      </c>
      <c r="F2149" s="15" t="str">
        <f>IFERROR(__xludf.DUMMYFUNCTION("GOOGLETRANSLATE(B2149,""en"",""ar"")"),"الجين")</f>
        <v>الجين</v>
      </c>
    </row>
    <row r="2150" ht="14.25" customHeight="1">
      <c r="A2150" s="5"/>
      <c r="B2150" s="2" t="s">
        <v>2296</v>
      </c>
      <c r="C2150" s="2">
        <v>1.0</v>
      </c>
      <c r="E2150" s="14" t="s">
        <v>80</v>
      </c>
      <c r="F2150" s="15" t="str">
        <f>IFERROR(__xludf.DUMMYFUNCTION("GOOGLETRANSLATE(B2150,""en"",""ar"")"),"صديقة")</f>
        <v>صديقة</v>
      </c>
    </row>
    <row r="2151" ht="14.25" customHeight="1">
      <c r="A2151" s="5"/>
      <c r="B2151" s="2" t="s">
        <v>2297</v>
      </c>
      <c r="C2151" s="2">
        <v>1.0</v>
      </c>
      <c r="E2151" s="14" t="s">
        <v>120</v>
      </c>
      <c r="F2151" s="15" t="str">
        <f>IFERROR(__xludf.DUMMYFUNCTION("GOOGLETRANSLATE(B2151,""en"",""ar"")"),"عشب")</f>
        <v>عشب</v>
      </c>
    </row>
    <row r="2152" ht="14.25" customHeight="1">
      <c r="A2152" s="5"/>
      <c r="B2152" s="2" t="s">
        <v>2298</v>
      </c>
      <c r="C2152" s="2">
        <v>1.0</v>
      </c>
      <c r="E2152" s="14" t="s">
        <v>113</v>
      </c>
      <c r="F2152" s="15" t="str">
        <f>IFERROR(__xludf.DUMMYFUNCTION("GOOGLETRANSLATE(B2152,""en"",""ar"")"),"مذنب")</f>
        <v>مذنب</v>
      </c>
    </row>
    <row r="2153" ht="14.25" customHeight="1">
      <c r="A2153" s="5"/>
      <c r="B2153" s="2" t="s">
        <v>2299</v>
      </c>
      <c r="C2153" s="2">
        <v>1.0</v>
      </c>
      <c r="E2153" s="14" t="s">
        <v>120</v>
      </c>
      <c r="F2153" s="15" t="str">
        <f>IFERROR(__xludf.DUMMYFUNCTION("GOOGLETRANSLATE(B2153,""en"",""ar"")"),"شاب")</f>
        <v>شاب</v>
      </c>
    </row>
    <row r="2154" ht="14.25" customHeight="1">
      <c r="A2154" s="5"/>
      <c r="B2154" s="2" t="s">
        <v>2300</v>
      </c>
      <c r="C2154" s="2">
        <v>1.0</v>
      </c>
      <c r="E2154" s="14" t="s">
        <v>80</v>
      </c>
      <c r="F2154" s="15" t="str">
        <f>IFERROR(__xludf.DUMMYFUNCTION("GOOGLETRANSLATE(B2154,""en"",""ar"")"),"قبعة")</f>
        <v>قبعة</v>
      </c>
    </row>
    <row r="2155" ht="14.25" customHeight="1">
      <c r="A2155" s="5"/>
      <c r="B2155" s="2" t="s">
        <v>2301</v>
      </c>
      <c r="C2155" s="2">
        <v>1.0</v>
      </c>
      <c r="E2155" s="14" t="s">
        <v>1838</v>
      </c>
      <c r="F2155" s="15" t="str">
        <f>IFERROR(__xludf.DUMMYFUNCTION("GOOGLETRANSLATE(B2155,""en"",""ar"")"),"الجحيم")</f>
        <v>الجحيم</v>
      </c>
    </row>
    <row r="2156" ht="14.25" customHeight="1">
      <c r="A2156" s="5"/>
      <c r="B2156" s="2" t="s">
        <v>2302</v>
      </c>
      <c r="C2156" s="2">
        <v>1.0</v>
      </c>
      <c r="E2156" s="14" t="s">
        <v>13</v>
      </c>
      <c r="F2156" s="15" t="str">
        <f>IFERROR(__xludf.DUMMYFUNCTION("GOOGLETRANSLATE(B2156,""en"",""ar"")"),"يتردد")</f>
        <v>يتردد</v>
      </c>
    </row>
    <row r="2157" ht="14.25" customHeight="1">
      <c r="A2157" s="5"/>
      <c r="B2157" s="2" t="s">
        <v>2303</v>
      </c>
      <c r="C2157" s="2">
        <v>1.0</v>
      </c>
      <c r="E2157" s="14" t="s">
        <v>120</v>
      </c>
      <c r="F2157" s="15" t="str">
        <f>IFERROR(__xludf.DUMMYFUNCTION("GOOGLETRANSLATE(B2157,""en"",""ar"")"),"تسليط الضوء")</f>
        <v>تسليط الضوء</v>
      </c>
    </row>
    <row r="2158" ht="14.25" customHeight="1">
      <c r="A2158" s="5"/>
      <c r="B2158" s="2" t="s">
        <v>2304</v>
      </c>
      <c r="C2158" s="2">
        <v>1.0</v>
      </c>
      <c r="E2158" s="14" t="s">
        <v>43</v>
      </c>
      <c r="F2158" s="15" t="str">
        <f>IFERROR(__xludf.DUMMYFUNCTION("GOOGLETRANSLATE(B2158,""en"",""ar"")"),"بكل صراحه")</f>
        <v>بكل صراحه</v>
      </c>
    </row>
    <row r="2159" ht="14.25" customHeight="1">
      <c r="A2159" s="5"/>
      <c r="B2159" s="2" t="s">
        <v>2305</v>
      </c>
      <c r="C2159" s="2">
        <v>1.0</v>
      </c>
      <c r="E2159" s="14" t="s">
        <v>95</v>
      </c>
      <c r="F2159" s="15" t="str">
        <f>IFERROR(__xludf.DUMMYFUNCTION("GOOGLETRANSLATE(B2159,""en"",""ar"")"),"عجل")</f>
        <v>عجل</v>
      </c>
    </row>
    <row r="2160" ht="14.25" customHeight="1">
      <c r="A2160" s="5"/>
      <c r="B2160" s="2" t="s">
        <v>2306</v>
      </c>
      <c r="C2160" s="2">
        <v>1.0</v>
      </c>
      <c r="E2160" s="14" t="s">
        <v>13</v>
      </c>
      <c r="F2160" s="15" t="str">
        <f>IFERROR(__xludf.DUMMYFUNCTION("GOOGLETRANSLATE(B2160,""en"",""ar"")"),"يبين")</f>
        <v>يبين</v>
      </c>
    </row>
    <row r="2161" ht="14.25" customHeight="1">
      <c r="A2161" s="5"/>
      <c r="B2161" s="2" t="s">
        <v>2307</v>
      </c>
      <c r="C2161" s="2">
        <v>1.0</v>
      </c>
      <c r="E2161" s="14" t="s">
        <v>149</v>
      </c>
      <c r="F2161" s="15" t="str">
        <f>IFERROR(__xludf.DUMMYFUNCTION("GOOGLETRANSLATE(B2161,""en"",""ar"")"),"حادث")</f>
        <v>حادث</v>
      </c>
    </row>
    <row r="2162" ht="14.25" customHeight="1">
      <c r="A2162" s="5"/>
      <c r="B2162" s="2" t="s">
        <v>2308</v>
      </c>
      <c r="C2162" s="2">
        <v>1.0</v>
      </c>
      <c r="E2162" s="14" t="s">
        <v>80</v>
      </c>
      <c r="F2162" s="15" t="str">
        <f>IFERROR(__xludf.DUMMYFUNCTION("GOOGLETRANSLATE(B2162,""en"",""ar"")"),"دلالة")</f>
        <v>دلالة</v>
      </c>
    </row>
    <row r="2163" ht="14.25" customHeight="1">
      <c r="A2163" s="5"/>
      <c r="B2163" s="2" t="s">
        <v>2309</v>
      </c>
      <c r="C2163" s="2">
        <v>1.0</v>
      </c>
      <c r="E2163" s="14" t="s">
        <v>236</v>
      </c>
      <c r="F2163" s="15" t="str">
        <f>IFERROR(__xludf.DUMMYFUNCTION("GOOGLETRANSLATE(B2163,""en"",""ar"")"),"حتمي")</f>
        <v>حتمي</v>
      </c>
    </row>
    <row r="2164" ht="14.25" customHeight="1">
      <c r="A2164" s="5"/>
      <c r="B2164" s="2" t="s">
        <v>2310</v>
      </c>
      <c r="C2164" s="2">
        <v>1.0</v>
      </c>
      <c r="E2164" s="14" t="s">
        <v>13</v>
      </c>
      <c r="F2164" s="15" t="str">
        <f>IFERROR(__xludf.DUMMYFUNCTION("GOOGLETRANSLATE(B2164,""en"",""ar"")"),"يخبر")</f>
        <v>يخبر</v>
      </c>
    </row>
    <row r="2165" ht="14.25" customHeight="1">
      <c r="A2165" s="5"/>
      <c r="B2165" s="2" t="s">
        <v>2311</v>
      </c>
      <c r="C2165" s="2">
        <v>1.0</v>
      </c>
      <c r="E2165" s="14" t="s">
        <v>80</v>
      </c>
      <c r="F2165" s="15" t="str">
        <f>IFERROR(__xludf.DUMMYFUNCTION("GOOGLETRANSLATE(B2165,""en"",""ar"")"),"نيّة")</f>
        <v>نيّة</v>
      </c>
    </row>
    <row r="2166" ht="14.25" customHeight="1">
      <c r="A2166" s="5"/>
      <c r="B2166" s="2" t="s">
        <v>2312</v>
      </c>
      <c r="C2166" s="2">
        <v>1.0</v>
      </c>
      <c r="E2166" s="14" t="s">
        <v>95</v>
      </c>
      <c r="F2166" s="15" t="str">
        <f>IFERROR(__xludf.DUMMYFUNCTION("GOOGLETRANSLATE(B2166,""en"",""ar"")"),"يدعو")</f>
        <v>يدعو</v>
      </c>
    </row>
    <row r="2167" ht="14.25" customHeight="1">
      <c r="A2167" s="5"/>
      <c r="B2167" s="2" t="s">
        <v>2313</v>
      </c>
      <c r="C2167" s="2">
        <v>1.0</v>
      </c>
      <c r="E2167" s="14" t="s">
        <v>120</v>
      </c>
      <c r="F2167" s="15" t="str">
        <f>IFERROR(__xludf.DUMMYFUNCTION("GOOGLETRANSLATE(B2167,""en"",""ar"")"),"جزيرة")</f>
        <v>جزيرة</v>
      </c>
    </row>
    <row r="2168" ht="14.25" customHeight="1">
      <c r="A2168" s="5"/>
      <c r="B2168" s="2" t="s">
        <v>2314</v>
      </c>
      <c r="C2168" s="2">
        <v>1.0</v>
      </c>
      <c r="E2168" s="14" t="s">
        <v>120</v>
      </c>
      <c r="F2168" s="15" t="str">
        <f>IFERROR(__xludf.DUMMYFUNCTION("GOOGLETRANSLATE(B2168,""en"",""ar"")"),"نكتة")</f>
        <v>نكتة</v>
      </c>
    </row>
    <row r="2169" ht="14.25" customHeight="1">
      <c r="A2169" s="5"/>
      <c r="B2169" s="2" t="s">
        <v>2315</v>
      </c>
      <c r="C2169" s="2">
        <v>1.0</v>
      </c>
      <c r="E2169" s="14" t="s">
        <v>129</v>
      </c>
      <c r="F2169" s="15" t="str">
        <f>IFERROR(__xludf.DUMMYFUNCTION("GOOGLETRANSLATE(B2169,""en"",""ar"")"),"هيئة المحلفين")</f>
        <v>هيئة المحلفين</v>
      </c>
    </row>
    <row r="2170" ht="14.25" customHeight="1">
      <c r="A2170" s="5"/>
      <c r="B2170" s="2" t="s">
        <v>2316</v>
      </c>
      <c r="C2170" s="2">
        <v>1.0</v>
      </c>
      <c r="E2170" s="14" t="s">
        <v>95</v>
      </c>
      <c r="F2170" s="15" t="str">
        <f>IFERROR(__xludf.DUMMYFUNCTION("GOOGLETRANSLATE(B2170,""en"",""ar"")"),"قبلة")</f>
        <v>قبلة</v>
      </c>
    </row>
    <row r="2171" ht="14.25" customHeight="1">
      <c r="A2171" s="5"/>
      <c r="B2171" s="2" t="s">
        <v>2317</v>
      </c>
      <c r="C2171" s="2">
        <v>1.0</v>
      </c>
      <c r="E2171" s="14" t="s">
        <v>80</v>
      </c>
      <c r="F2171" s="15" t="str">
        <f>IFERROR(__xludf.DUMMYFUNCTION("GOOGLETRANSLATE(B2171,""en"",""ar"")"),"السيدة")</f>
        <v>السيدة</v>
      </c>
    </row>
    <row r="2172" ht="14.25" customHeight="1">
      <c r="A2172" s="5"/>
      <c r="B2172" s="2" t="s">
        <v>2318</v>
      </c>
      <c r="C2172" s="2">
        <v>1.0</v>
      </c>
      <c r="E2172" s="14" t="s">
        <v>120</v>
      </c>
      <c r="F2172" s="15" t="str">
        <f>IFERROR(__xludf.DUMMYFUNCTION("GOOGLETRANSLATE(B2172,""en"",""ar"")"),"ساق")</f>
        <v>ساق</v>
      </c>
    </row>
    <row r="2173" ht="14.25" customHeight="1">
      <c r="A2173" s="5"/>
      <c r="B2173" s="2" t="s">
        <v>2319</v>
      </c>
      <c r="C2173" s="2">
        <v>1.0</v>
      </c>
      <c r="E2173" s="14" t="s">
        <v>120</v>
      </c>
      <c r="F2173" s="15" t="str">
        <f>IFERROR(__xludf.DUMMYFUNCTION("GOOGLETRANSLATE(B2173,""en"",""ar"")"),"شفة")</f>
        <v>شفة</v>
      </c>
    </row>
    <row r="2174" ht="14.25" customHeight="1">
      <c r="A2174" s="5"/>
      <c r="B2174" s="2" t="s">
        <v>2320</v>
      </c>
      <c r="C2174" s="2">
        <v>1.0</v>
      </c>
      <c r="E2174" s="14" t="s">
        <v>113</v>
      </c>
      <c r="F2174" s="15" t="str">
        <f>IFERROR(__xludf.DUMMYFUNCTION("GOOGLETRANSLATE(B2174,""en"",""ar"")"),"وحيد")</f>
        <v>وحيد</v>
      </c>
    </row>
    <row r="2175" ht="14.25" customHeight="1">
      <c r="A2175" s="5"/>
      <c r="B2175" s="2" t="s">
        <v>2321</v>
      </c>
      <c r="C2175" s="2">
        <v>1.0</v>
      </c>
      <c r="E2175" s="14" t="s">
        <v>113</v>
      </c>
      <c r="F2175" s="15" t="str">
        <f>IFERROR(__xludf.DUMMYFUNCTION("GOOGLETRANSLATE(B2175,""en"",""ar"")"),"مجنون")</f>
        <v>مجنون</v>
      </c>
    </row>
    <row r="2176" ht="14.25" customHeight="1">
      <c r="A2176" s="5"/>
      <c r="B2176" s="2" t="s">
        <v>2322</v>
      </c>
      <c r="C2176" s="2">
        <v>1.0</v>
      </c>
      <c r="E2176" s="14" t="s">
        <v>13</v>
      </c>
      <c r="F2176" s="15" t="str">
        <f>IFERROR(__xludf.DUMMYFUNCTION("GOOGLETRANSLATE(B2176,""en"",""ar"")"),"تصنيع")</f>
        <v>تصنيع</v>
      </c>
    </row>
    <row r="2177" ht="14.25" customHeight="1">
      <c r="A2177" s="5"/>
      <c r="B2177" s="2" t="s">
        <v>2323</v>
      </c>
      <c r="C2177" s="2">
        <v>1.0</v>
      </c>
      <c r="E2177" s="14" t="s">
        <v>2324</v>
      </c>
      <c r="F2177" s="15" t="str">
        <f>IFERROR(__xludf.DUMMYFUNCTION("GOOGLETRANSLATE(B2177,""en"",""ar"")"),"الزواج")</f>
        <v>الزواج</v>
      </c>
    </row>
    <row r="2178" ht="14.25" customHeight="1">
      <c r="A2178" s="5"/>
      <c r="B2178" s="2" t="s">
        <v>2325</v>
      </c>
      <c r="C2178" s="2">
        <v>1.0</v>
      </c>
      <c r="E2178" s="14" t="s">
        <v>120</v>
      </c>
      <c r="F2178" s="15" t="str">
        <f>IFERROR(__xludf.DUMMYFUNCTION("GOOGLETRANSLATE(B2178,""en"",""ar"")"),"رَفِيق")</f>
        <v>رَفِيق</v>
      </c>
    </row>
    <row r="2179" ht="14.25" customHeight="1">
      <c r="A2179" s="5"/>
      <c r="B2179" s="2" t="s">
        <v>2326</v>
      </c>
      <c r="C2179" s="2">
        <v>1.0</v>
      </c>
      <c r="E2179" s="14" t="s">
        <v>80</v>
      </c>
      <c r="F2179" s="15" t="str">
        <f>IFERROR(__xludf.DUMMYFUNCTION("GOOGLETRANSLATE(B2179,""en"",""ar"")"),"منتصف الليل")</f>
        <v>منتصف الليل</v>
      </c>
    </row>
    <row r="2180" ht="14.25" customHeight="1">
      <c r="A2180" s="5"/>
      <c r="B2180" s="2" t="s">
        <v>2327</v>
      </c>
      <c r="C2180" s="2">
        <v>1.0</v>
      </c>
      <c r="E2180" s="14" t="s">
        <v>84</v>
      </c>
      <c r="F2180" s="15" t="str">
        <f>IFERROR(__xludf.DUMMYFUNCTION("GOOGLETRANSLATE(B2180,""en"",""ar"")"),"محرك")</f>
        <v>محرك</v>
      </c>
    </row>
    <row r="2181" ht="14.25" customHeight="1">
      <c r="A2181" s="5"/>
      <c r="B2181" s="2" t="s">
        <v>2328</v>
      </c>
      <c r="C2181" s="2">
        <v>1.0</v>
      </c>
      <c r="E2181" s="14" t="s">
        <v>236</v>
      </c>
      <c r="F2181" s="15" t="str">
        <f>IFERROR(__xludf.DUMMYFUNCTION("GOOGLETRANSLATE(B2181,""en"",""ar"")"),"مرتب")</f>
        <v>مرتب</v>
      </c>
    </row>
    <row r="2182" ht="14.25" customHeight="1">
      <c r="A2182" s="5"/>
      <c r="B2182" s="2" t="s">
        <v>2329</v>
      </c>
      <c r="C2182" s="2">
        <v>1.0</v>
      </c>
      <c r="E2182" s="14" t="s">
        <v>80</v>
      </c>
      <c r="F2182" s="15" t="str">
        <f>IFERROR(__xludf.DUMMYFUNCTION("GOOGLETRANSLATE(B2182,""en"",""ar"")"),"تفاوض")</f>
        <v>تفاوض</v>
      </c>
    </row>
    <row r="2183" ht="14.25" customHeight="1">
      <c r="A2183" s="5"/>
      <c r="B2183" s="2" t="s">
        <v>2330</v>
      </c>
      <c r="C2183" s="2">
        <v>1.0</v>
      </c>
      <c r="E2183" s="14" t="s">
        <v>120</v>
      </c>
      <c r="F2183" s="15" t="str">
        <f>IFERROR(__xludf.DUMMYFUNCTION("GOOGLETRANSLATE(B2183,""en"",""ar"")"),"عصب")</f>
        <v>عصب</v>
      </c>
    </row>
    <row r="2184" ht="14.25" customHeight="1">
      <c r="A2184" s="5"/>
      <c r="B2184" s="2" t="s">
        <v>2331</v>
      </c>
      <c r="C2184" s="2">
        <v>1.0</v>
      </c>
      <c r="E2184" s="14" t="s">
        <v>113</v>
      </c>
      <c r="F2184" s="15" t="str">
        <f>IFERROR(__xludf.DUMMYFUNCTION("GOOGLETRANSLATE(B2184,""en"",""ar"")"),"متوتر")</f>
        <v>متوتر</v>
      </c>
    </row>
    <row r="2185" ht="14.25" customHeight="1">
      <c r="A2185" s="5"/>
      <c r="B2185" s="2" t="s">
        <v>2332</v>
      </c>
      <c r="C2185" s="2">
        <v>1.0</v>
      </c>
      <c r="E2185" s="14" t="s">
        <v>2333</v>
      </c>
      <c r="F2185" s="15" t="str">
        <f>IFERROR(__xludf.DUMMYFUNCTION("GOOGLETRANSLATE(B2185,""en"",""ar"")"),"لا مكان")</f>
        <v>لا مكان</v>
      </c>
    </row>
    <row r="2186" ht="14.25" customHeight="1">
      <c r="A2186" s="5"/>
      <c r="B2186" s="2" t="s">
        <v>2334</v>
      </c>
      <c r="C2186" s="2">
        <v>1.0</v>
      </c>
      <c r="E2186" s="14" t="s">
        <v>80</v>
      </c>
      <c r="F2186" s="15" t="str">
        <f>IFERROR(__xludf.DUMMYFUNCTION("GOOGLETRANSLATE(B2186,""en"",""ar"")"),"التزام")</f>
        <v>التزام</v>
      </c>
    </row>
    <row r="2187" ht="14.25" customHeight="1">
      <c r="A2187" s="5"/>
      <c r="B2187" s="2" t="s">
        <v>2335</v>
      </c>
      <c r="C2187" s="2">
        <v>1.0</v>
      </c>
      <c r="E2187" s="14" t="s">
        <v>113</v>
      </c>
      <c r="F2187" s="15" t="str">
        <f>IFERROR(__xludf.DUMMYFUNCTION("GOOGLETRANSLATE(B2187,""en"",""ar"")"),"الفردية")</f>
        <v>الفردية</v>
      </c>
    </row>
    <row r="2188" ht="14.25" customHeight="1">
      <c r="A2188" s="5"/>
      <c r="B2188" s="2" t="s">
        <v>2336</v>
      </c>
      <c r="C2188" s="2">
        <v>1.0</v>
      </c>
      <c r="E2188" s="14" t="s">
        <v>206</v>
      </c>
      <c r="F2188" s="15" t="str">
        <f>IFERROR(__xludf.DUMMYFUNCTION("GOOGLETRANSLATE(B2188,""en"",""ar"")"),"موافق")</f>
        <v>موافق</v>
      </c>
    </row>
    <row r="2189" ht="14.25" customHeight="1">
      <c r="A2189" s="5"/>
      <c r="B2189" s="2" t="s">
        <v>2337</v>
      </c>
      <c r="C2189" s="2">
        <v>1.0</v>
      </c>
      <c r="E2189" s="14" t="s">
        <v>120</v>
      </c>
      <c r="F2189" s="15" t="str">
        <f>IFERROR(__xludf.DUMMYFUNCTION("GOOGLETRANSLATE(B2189,""en"",""ar"")"),"الممر")</f>
        <v>الممر</v>
      </c>
    </row>
    <row r="2190" ht="14.25" customHeight="1">
      <c r="A2190" s="5"/>
      <c r="B2190" s="2" t="s">
        <v>2338</v>
      </c>
      <c r="C2190" s="2">
        <v>1.0</v>
      </c>
      <c r="E2190" s="14" t="s">
        <v>80</v>
      </c>
      <c r="F2190" s="15" t="str">
        <f>IFERROR(__xludf.DUMMYFUNCTION("GOOGLETRANSLATE(B2190,""en"",""ar"")"),"راكب")</f>
        <v>راكب</v>
      </c>
    </row>
    <row r="2191" ht="14.25" customHeight="1">
      <c r="A2191" s="5"/>
      <c r="B2191" s="2" t="s">
        <v>2339</v>
      </c>
      <c r="C2191" s="2">
        <v>1.0</v>
      </c>
      <c r="E2191" s="14" t="s">
        <v>120</v>
      </c>
      <c r="F2191" s="15" t="str">
        <f>IFERROR(__xludf.DUMMYFUNCTION("GOOGLETRANSLATE(B2191,""en"",""ar"")"),"قلم جاف")</f>
        <v>قلم جاف</v>
      </c>
    </row>
    <row r="2192" ht="14.25" customHeight="1">
      <c r="A2192" s="5"/>
      <c r="B2192" s="2" t="s">
        <v>2340</v>
      </c>
      <c r="C2192" s="2">
        <v>1.0</v>
      </c>
      <c r="E2192" s="14" t="s">
        <v>13</v>
      </c>
      <c r="F2192" s="15" t="str">
        <f>IFERROR(__xludf.DUMMYFUNCTION("GOOGLETRANSLATE(B2192,""en"",""ar"")"),"اقناع")</f>
        <v>اقناع</v>
      </c>
    </row>
    <row r="2193" ht="14.25" customHeight="1">
      <c r="A2193" s="5"/>
      <c r="B2193" s="2" t="s">
        <v>2341</v>
      </c>
      <c r="C2193" s="2">
        <v>1.0</v>
      </c>
      <c r="E2193" s="14" t="s">
        <v>80</v>
      </c>
      <c r="F2193" s="15" t="str">
        <f>IFERROR(__xludf.DUMMYFUNCTION("GOOGLETRANSLATE(B2193,""en"",""ar"")"),"بيتزا")</f>
        <v>بيتزا</v>
      </c>
    </row>
    <row r="2194" ht="14.25" customHeight="1">
      <c r="A2194" s="5"/>
      <c r="B2194" s="2" t="s">
        <v>2342</v>
      </c>
      <c r="C2194" s="2">
        <v>1.0</v>
      </c>
      <c r="E2194" s="14" t="s">
        <v>80</v>
      </c>
      <c r="F2194" s="15" t="str">
        <f>IFERROR(__xludf.DUMMYFUNCTION("GOOGLETRANSLATE(B2194,""en"",""ar"")"),"برنامج")</f>
        <v>برنامج</v>
      </c>
    </row>
    <row r="2195" ht="14.25" customHeight="1">
      <c r="A2195" s="5"/>
      <c r="B2195" s="2" t="s">
        <v>2343</v>
      </c>
      <c r="C2195" s="2">
        <v>1.0</v>
      </c>
      <c r="E2195" s="14" t="s">
        <v>80</v>
      </c>
      <c r="F2195" s="15" t="str">
        <f>IFERROR(__xludf.DUMMYFUNCTION("GOOGLETRANSLATE(B2195,""en"",""ar"")"),"شاعر")</f>
        <v>شاعر</v>
      </c>
    </row>
    <row r="2196" ht="14.25" customHeight="1">
      <c r="A2196" s="5"/>
      <c r="B2196" s="2" t="s">
        <v>2344</v>
      </c>
      <c r="C2196" s="2">
        <v>1.0</v>
      </c>
      <c r="E2196" s="14" t="s">
        <v>80</v>
      </c>
      <c r="F2196" s="15" t="str">
        <f>IFERROR(__xludf.DUMMYFUNCTION("GOOGLETRANSLATE(B2196,""en"",""ar"")"),"التلوث")</f>
        <v>التلوث</v>
      </c>
    </row>
    <row r="2197" ht="14.25" customHeight="1">
      <c r="A2197" s="5"/>
      <c r="B2197" s="2" t="s">
        <v>2345</v>
      </c>
      <c r="C2197" s="2">
        <v>1.0</v>
      </c>
      <c r="E2197" s="14" t="s">
        <v>2346</v>
      </c>
      <c r="F2197" s="15" t="str">
        <f>IFERROR(__xludf.DUMMYFUNCTION("GOOGLETRANSLATE(B2197,""en"",""ar"")"),"البوب")</f>
        <v>البوب</v>
      </c>
    </row>
    <row r="2198" ht="14.25" customHeight="1">
      <c r="A2198" s="5"/>
      <c r="B2198" s="2" t="s">
        <v>2347</v>
      </c>
      <c r="C2198" s="2">
        <v>1.0</v>
      </c>
      <c r="E2198" s="14" t="s">
        <v>13</v>
      </c>
      <c r="F2198" s="15" t="str">
        <f>IFERROR(__xludf.DUMMYFUNCTION("GOOGLETRANSLATE(B2198,""en"",""ar"")"),"يصب")</f>
        <v>يصب</v>
      </c>
    </row>
    <row r="2199" ht="14.25" customHeight="1">
      <c r="A2199" s="5"/>
      <c r="B2199" s="2" t="s">
        <v>2348</v>
      </c>
      <c r="C2199" s="2">
        <v>1.0</v>
      </c>
      <c r="E2199" s="14" t="s">
        <v>2349</v>
      </c>
      <c r="F2199" s="15" t="str">
        <f>IFERROR(__xludf.DUMMYFUNCTION("GOOGLETRANSLATE(B2199,""en"",""ar"")"),"يصلي")</f>
        <v>يصلي</v>
      </c>
    </row>
    <row r="2200" ht="14.25" customHeight="1">
      <c r="A2200" s="5"/>
      <c r="B2200" s="2" t="s">
        <v>2350</v>
      </c>
      <c r="C2200" s="2">
        <v>1.0</v>
      </c>
      <c r="E2200" s="14" t="s">
        <v>644</v>
      </c>
      <c r="F2200" s="15" t="str">
        <f>IFERROR(__xludf.DUMMYFUNCTION("GOOGLETRANSLATE(B2200,""en"",""ar"")"),"يدّعي")</f>
        <v>يدّعي</v>
      </c>
    </row>
    <row r="2201" ht="14.25" customHeight="1">
      <c r="A2201" s="5"/>
      <c r="B2201" s="2" t="s">
        <v>2351</v>
      </c>
      <c r="C2201" s="2">
        <v>1.0</v>
      </c>
      <c r="E2201" s="14" t="s">
        <v>43</v>
      </c>
      <c r="F2201" s="15" t="str">
        <f>IFERROR(__xludf.DUMMYFUNCTION("GOOGLETRANSLATE(B2201,""en"",""ar"")"),"سابقًا")</f>
        <v>سابقًا</v>
      </c>
    </row>
    <row r="2202" ht="14.25" customHeight="1">
      <c r="A2202" s="5"/>
      <c r="B2202" s="2" t="s">
        <v>2352</v>
      </c>
      <c r="C2202" s="2">
        <v>1.0</v>
      </c>
      <c r="E2202" s="14" t="s">
        <v>120</v>
      </c>
      <c r="F2202" s="15" t="str">
        <f>IFERROR(__xludf.DUMMYFUNCTION("GOOGLETRANSLATE(B2202,""en"",""ar"")"),"الاعتزاز")</f>
        <v>الاعتزاز</v>
      </c>
    </row>
    <row r="2203" ht="14.25" customHeight="1">
      <c r="A2203" s="5"/>
      <c r="B2203" s="2" t="s">
        <v>2353</v>
      </c>
      <c r="C2203" s="2">
        <v>1.0</v>
      </c>
      <c r="E2203" s="14" t="s">
        <v>120</v>
      </c>
      <c r="F2203" s="15" t="str">
        <f>IFERROR(__xludf.DUMMYFUNCTION("GOOGLETRANSLATE(B2203,""en"",""ar"")"),"كاهن")</f>
        <v>كاهن</v>
      </c>
    </row>
    <row r="2204" ht="14.25" customHeight="1">
      <c r="A2204" s="5"/>
      <c r="B2204" s="2" t="s">
        <v>2354</v>
      </c>
      <c r="C2204" s="2">
        <v>1.0</v>
      </c>
      <c r="E2204" s="14" t="s">
        <v>84</v>
      </c>
      <c r="F2204" s="15" t="str">
        <f>IFERROR(__xludf.DUMMYFUNCTION("GOOGLETRANSLATE(B2204,""en"",""ar"")"),"جائزة")</f>
        <v>جائزة</v>
      </c>
    </row>
    <row r="2205" ht="14.25" customHeight="1">
      <c r="A2205" s="5"/>
      <c r="B2205" s="2" t="s">
        <v>2355</v>
      </c>
      <c r="C2205" s="2">
        <v>1.0</v>
      </c>
      <c r="E2205" s="14" t="s">
        <v>120</v>
      </c>
      <c r="F2205" s="15" t="str">
        <f>IFERROR(__xludf.DUMMYFUNCTION("GOOGLETRANSLATE(B2205,""en"",""ar"")"),"يعد")</f>
        <v>يعد</v>
      </c>
    </row>
    <row r="2206" ht="14.25" customHeight="1">
      <c r="A2206" s="5"/>
      <c r="B2206" s="2" t="s">
        <v>2356</v>
      </c>
      <c r="C2206" s="2">
        <v>1.0</v>
      </c>
      <c r="E2206" s="14" t="s">
        <v>13</v>
      </c>
      <c r="F2206" s="15" t="str">
        <f>IFERROR(__xludf.DUMMYFUNCTION("GOOGLETRANSLATE(B2206,""en"",""ar"")"),"اقترح")</f>
        <v>اقترح</v>
      </c>
    </row>
    <row r="2207" ht="14.25" customHeight="1">
      <c r="A2207" s="5"/>
      <c r="B2207" s="2" t="s">
        <v>2357</v>
      </c>
      <c r="C2207" s="2">
        <v>1.0</v>
      </c>
      <c r="E2207" s="14" t="s">
        <v>95</v>
      </c>
      <c r="F2207" s="15" t="str">
        <f>IFERROR(__xludf.DUMMYFUNCTION("GOOGLETRANSLATE(B2207,""en"",""ar"")"),"لكمة")</f>
        <v>لكمة</v>
      </c>
    </row>
    <row r="2208" ht="14.25" customHeight="1">
      <c r="A2208" s="5"/>
      <c r="B2208" s="2" t="s">
        <v>2358</v>
      </c>
      <c r="C2208" s="2">
        <v>1.0</v>
      </c>
      <c r="E2208" s="14" t="s">
        <v>95</v>
      </c>
      <c r="F2208" s="15" t="str">
        <f>IFERROR(__xludf.DUMMYFUNCTION("GOOGLETRANSLATE(B2208,""en"",""ar"")"),"استقال")</f>
        <v>استقال</v>
      </c>
    </row>
    <row r="2209" ht="14.25" customHeight="1">
      <c r="A2209" s="5"/>
      <c r="B2209" s="2" t="s">
        <v>2359</v>
      </c>
      <c r="C2209" s="2">
        <v>1.0</v>
      </c>
      <c r="E2209" s="14" t="s">
        <v>80</v>
      </c>
      <c r="F2209" s="15" t="str">
        <f>IFERROR(__xludf.DUMMYFUNCTION("GOOGLETRANSLATE(B2209,""en"",""ar"")"),"التعرف على")</f>
        <v>التعرف على</v>
      </c>
    </row>
    <row r="2210" ht="14.25" customHeight="1">
      <c r="A2210" s="5"/>
      <c r="B2210" s="2" t="s">
        <v>2360</v>
      </c>
      <c r="C2210" s="2">
        <v>1.0</v>
      </c>
      <c r="E2210" s="14" t="s">
        <v>113</v>
      </c>
      <c r="F2210" s="15" t="str">
        <f>IFERROR(__xludf.DUMMYFUNCTION("GOOGLETRANSLATE(B2210,""en"",""ar"")"),"لافت للنظر")</f>
        <v>لافت للنظر</v>
      </c>
    </row>
    <row r="2211" ht="14.25" customHeight="1">
      <c r="A2211" s="5"/>
      <c r="B2211" s="2" t="s">
        <v>2361</v>
      </c>
      <c r="C2211" s="2">
        <v>1.0</v>
      </c>
      <c r="E2211" s="14" t="s">
        <v>13</v>
      </c>
      <c r="F2211" s="15" t="str">
        <f>IFERROR(__xludf.DUMMYFUNCTION("GOOGLETRANSLATE(B2211,""en"",""ar"")"),"يتذكر")</f>
        <v>يتذكر</v>
      </c>
    </row>
    <row r="2212" ht="14.25" customHeight="1">
      <c r="A2212" s="5"/>
      <c r="B2212" s="2" t="s">
        <v>2362</v>
      </c>
      <c r="C2212" s="2">
        <v>1.0</v>
      </c>
      <c r="E2212" s="14" t="s">
        <v>95</v>
      </c>
      <c r="F2212" s="15" t="str">
        <f>IFERROR(__xludf.DUMMYFUNCTION("GOOGLETRANSLATE(B2212,""en"",""ar"")"),"الرد")</f>
        <v>الرد</v>
      </c>
    </row>
    <row r="2213" ht="14.25" customHeight="1">
      <c r="A2213" s="5"/>
      <c r="B2213" s="2" t="s">
        <v>2363</v>
      </c>
      <c r="C2213" s="2">
        <v>1.0</v>
      </c>
      <c r="E2213" s="14" t="s">
        <v>236</v>
      </c>
      <c r="F2213" s="15" t="str">
        <f>IFERROR(__xludf.DUMMYFUNCTION("GOOGLETRANSLATE(B2213,""en"",""ar"")"),"وكيل")</f>
        <v>وكيل</v>
      </c>
    </row>
    <row r="2214" ht="14.25" customHeight="1">
      <c r="A2214" s="5"/>
      <c r="B2214" s="2" t="s">
        <v>2364</v>
      </c>
      <c r="C2214" s="2">
        <v>1.0</v>
      </c>
      <c r="E2214" s="14" t="s">
        <v>80</v>
      </c>
      <c r="F2214" s="15" t="str">
        <f>IFERROR(__xludf.DUMMYFUNCTION("GOOGLETRANSLATE(B2214,""en"",""ar"")"),"سمعة")</f>
        <v>سمعة</v>
      </c>
    </row>
    <row r="2215" ht="14.25" customHeight="1">
      <c r="A2215" s="5"/>
      <c r="B2215" s="2" t="s">
        <v>2365</v>
      </c>
      <c r="C2215" s="2">
        <v>1.0</v>
      </c>
      <c r="E2215" s="14" t="s">
        <v>149</v>
      </c>
      <c r="F2215" s="15" t="str">
        <f>IFERROR(__xludf.DUMMYFUNCTION("GOOGLETRANSLATE(B2215,""en"",""ar"")"),"مقيم")</f>
        <v>مقيم</v>
      </c>
    </row>
    <row r="2216" ht="14.25" customHeight="1">
      <c r="A2216" s="5"/>
      <c r="B2216" s="2" t="s">
        <v>2366</v>
      </c>
      <c r="C2216" s="2">
        <v>1.0</v>
      </c>
      <c r="E2216" s="14" t="s">
        <v>95</v>
      </c>
      <c r="F2216" s="15" t="str">
        <f>IFERROR(__xludf.DUMMYFUNCTION("GOOGLETRANSLATE(B2216,""en"",""ar"")"),"يقاوم")</f>
        <v>يقاوم</v>
      </c>
    </row>
    <row r="2217" ht="14.25" customHeight="1">
      <c r="A2217" s="5"/>
      <c r="B2217" s="2" t="s">
        <v>2367</v>
      </c>
      <c r="C2217" s="2">
        <v>1.0</v>
      </c>
      <c r="E2217" s="14" t="s">
        <v>120</v>
      </c>
      <c r="F2217" s="15" t="str">
        <f>IFERROR(__xludf.DUMMYFUNCTION("GOOGLETRANSLATE(B2217,""en"",""ar"")"),"ملتجأ")</f>
        <v>ملتجأ</v>
      </c>
    </row>
    <row r="2218" ht="14.25" customHeight="1">
      <c r="A2218" s="5"/>
      <c r="B2218" s="2" t="s">
        <v>2368</v>
      </c>
      <c r="C2218" s="2">
        <v>1.0</v>
      </c>
      <c r="E2218" s="14" t="s">
        <v>120</v>
      </c>
      <c r="F2218" s="15" t="str">
        <f>IFERROR(__xludf.DUMMYFUNCTION("GOOGLETRANSLATE(B2218,""en"",""ar"")"),"جرس")</f>
        <v>جرس</v>
      </c>
    </row>
    <row r="2219" ht="14.25" customHeight="1">
      <c r="A2219" s="5"/>
      <c r="B2219" s="2" t="s">
        <v>2369</v>
      </c>
      <c r="C2219" s="2">
        <v>1.0</v>
      </c>
      <c r="E2219" s="14" t="s">
        <v>95</v>
      </c>
      <c r="F2219" s="15" t="str">
        <f>IFERROR(__xludf.DUMMYFUNCTION("GOOGLETRANSLATE(B2219,""en"",""ar"")"),"إرقد بسلام")</f>
        <v>إرقد بسلام</v>
      </c>
    </row>
    <row r="2220" ht="14.25" customHeight="1">
      <c r="A2220" s="5"/>
      <c r="B2220" s="2" t="s">
        <v>2370</v>
      </c>
      <c r="C2220" s="2">
        <v>1.0</v>
      </c>
      <c r="E2220" s="14" t="s">
        <v>120</v>
      </c>
      <c r="F2220" s="15" t="str">
        <f>IFERROR(__xludf.DUMMYFUNCTION("GOOGLETRANSLATE(B2220,""en"",""ar"")"),"سقف")</f>
        <v>سقف</v>
      </c>
    </row>
    <row r="2221" ht="14.25" customHeight="1">
      <c r="A2221" s="5"/>
      <c r="B2221" s="2" t="s">
        <v>2371</v>
      </c>
      <c r="C2221" s="2">
        <v>1.0</v>
      </c>
      <c r="E2221" s="14" t="s">
        <v>120</v>
      </c>
      <c r="F2221" s="15" t="str">
        <f>IFERROR(__xludf.DUMMYFUNCTION("GOOGLETRANSLATE(B2221,""en"",""ar"")"),"حبل")</f>
        <v>حبل</v>
      </c>
    </row>
    <row r="2222" ht="14.25" customHeight="1">
      <c r="A2222" s="5"/>
      <c r="B2222" s="2" t="s">
        <v>2372</v>
      </c>
      <c r="C2222" s="2">
        <v>1.0</v>
      </c>
      <c r="E2222" s="14" t="s">
        <v>95</v>
      </c>
      <c r="F2222" s="15" t="str">
        <f>IFERROR(__xludf.DUMMYFUNCTION("GOOGLETRANSLATE(B2222,""en"",""ar"")"),"فرك")</f>
        <v>فرك</v>
      </c>
    </row>
    <row r="2223" ht="14.25" customHeight="1">
      <c r="A2223" s="5"/>
      <c r="B2223" s="2" t="s">
        <v>2373</v>
      </c>
      <c r="C2223" s="2">
        <v>1.0</v>
      </c>
      <c r="E2223" s="14" t="s">
        <v>120</v>
      </c>
      <c r="F2223" s="15" t="str">
        <f>IFERROR(__xludf.DUMMYFUNCTION("GOOGLETRANSLATE(B2223,""en"",""ar"")"),"ريشة")</f>
        <v>ريشة</v>
      </c>
    </row>
    <row r="2224" ht="14.25" customHeight="1">
      <c r="A2224" s="5"/>
      <c r="B2224" s="2" t="s">
        <v>2374</v>
      </c>
      <c r="C2224" s="2">
        <v>1.0</v>
      </c>
      <c r="E2224" s="14" t="s">
        <v>120</v>
      </c>
      <c r="F2224" s="15" t="str">
        <f>IFERROR(__xludf.DUMMYFUNCTION("GOOGLETRANSLATE(B2224,""en"",""ar"")"),"مخطط")</f>
        <v>مخطط</v>
      </c>
    </row>
    <row r="2225" ht="14.25" customHeight="1">
      <c r="A2225" s="5"/>
      <c r="B2225" s="2" t="s">
        <v>2375</v>
      </c>
      <c r="C2225" s="2">
        <v>1.0</v>
      </c>
      <c r="E2225" s="14" t="s">
        <v>120</v>
      </c>
      <c r="F2225" s="15" t="str">
        <f>IFERROR(__xludf.DUMMYFUNCTION("GOOGLETRANSLATE(B2225,""en"",""ar"")"),"النصي")</f>
        <v>النصي</v>
      </c>
    </row>
    <row r="2226" ht="14.25" customHeight="1">
      <c r="A2226" s="5"/>
      <c r="B2226" s="2" t="s">
        <v>2376</v>
      </c>
      <c r="C2226" s="2">
        <v>1.0</v>
      </c>
      <c r="E2226" s="14" t="s">
        <v>13</v>
      </c>
      <c r="F2226" s="15" t="str">
        <f>IFERROR(__xludf.DUMMYFUNCTION("GOOGLETRANSLATE(B2226,""en"",""ar"")"),"يجب")</f>
        <v>يجب</v>
      </c>
    </row>
    <row r="2227" ht="14.25" customHeight="1">
      <c r="A2227" s="5"/>
      <c r="B2227" s="2" t="s">
        <v>2377</v>
      </c>
      <c r="C2227" s="2">
        <v>1.0</v>
      </c>
      <c r="E2227" s="14" t="s">
        <v>80</v>
      </c>
      <c r="F2227" s="15" t="str">
        <f>IFERROR(__xludf.DUMMYFUNCTION("GOOGLETRANSLATE(B2227,""en"",""ar"")"),"قميص")</f>
        <v>قميص</v>
      </c>
    </row>
    <row r="2228" ht="14.25" customHeight="1">
      <c r="A2228" s="5"/>
      <c r="B2228" s="2" t="s">
        <v>2378</v>
      </c>
      <c r="C2228" s="2">
        <v>1.0</v>
      </c>
      <c r="E2228" s="14" t="s">
        <v>236</v>
      </c>
      <c r="F2228" s="15" t="str">
        <f>IFERROR(__xludf.DUMMYFUNCTION("GOOGLETRANSLATE(B2228,""en"",""ar"")"),"سخيف")</f>
        <v>سخيف</v>
      </c>
    </row>
    <row r="2229" ht="14.25" customHeight="1">
      <c r="A2229" s="5"/>
      <c r="B2229" s="2" t="s">
        <v>2379</v>
      </c>
      <c r="C2229" s="2">
        <v>1.0</v>
      </c>
      <c r="E2229" s="14" t="s">
        <v>80</v>
      </c>
      <c r="F2229" s="15" t="str">
        <f>IFERROR(__xludf.DUMMYFUNCTION("GOOGLETRANSLATE(B2229,""en"",""ar"")"),"سيدي المحترم")</f>
        <v>سيدي المحترم</v>
      </c>
    </row>
    <row r="2230" ht="14.25" customHeight="1">
      <c r="A2230" s="5"/>
      <c r="B2230" s="2" t="s">
        <v>2380</v>
      </c>
      <c r="C2230" s="2">
        <v>1.0</v>
      </c>
      <c r="E2230" s="14" t="s">
        <v>510</v>
      </c>
      <c r="F2230" s="15" t="str">
        <f>IFERROR(__xludf.DUMMYFUNCTION("GOOGLETRANSLATE(B2230,""en"",""ar"")"),"طفيف")</f>
        <v>طفيف</v>
      </c>
    </row>
    <row r="2231" ht="14.25" customHeight="1">
      <c r="A2231" s="5"/>
      <c r="B2231" s="2" t="s">
        <v>2381</v>
      </c>
      <c r="C2231" s="2">
        <v>1.0</v>
      </c>
      <c r="E2231" s="14" t="s">
        <v>510</v>
      </c>
      <c r="F2231" s="15" t="str">
        <f>IFERROR(__xludf.DUMMYFUNCTION("GOOGLETRANSLATE(B2231,""en"",""ar"")"),"ذكي")</f>
        <v>ذكي</v>
      </c>
    </row>
    <row r="2232" ht="14.25" customHeight="1">
      <c r="A2232" s="5"/>
      <c r="B2232" s="2" t="s">
        <v>2382</v>
      </c>
      <c r="C2232" s="2">
        <v>1.0</v>
      </c>
      <c r="E2232" s="14" t="s">
        <v>95</v>
      </c>
      <c r="F2232" s="15" t="str">
        <f>IFERROR(__xludf.DUMMYFUNCTION("GOOGLETRANSLATE(B2232,""en"",""ar"")"),"ابتسامة")</f>
        <v>ابتسامة</v>
      </c>
    </row>
    <row r="2233" ht="14.25" customHeight="1">
      <c r="A2233" s="5"/>
      <c r="B2233" s="2" t="s">
        <v>2383</v>
      </c>
      <c r="C2233" s="2">
        <v>1.0</v>
      </c>
      <c r="E2233" s="14" t="s">
        <v>120</v>
      </c>
      <c r="F2233" s="15" t="str">
        <f>IFERROR(__xludf.DUMMYFUNCTION("GOOGLETRANSLATE(B2233,""en"",""ar"")"),"جورب")</f>
        <v>جورب</v>
      </c>
    </row>
    <row r="2234" ht="14.25" customHeight="1">
      <c r="A2234" s="5"/>
      <c r="B2234" s="2" t="s">
        <v>2384</v>
      </c>
      <c r="C2234" s="2">
        <v>1.0</v>
      </c>
      <c r="E2234" s="14" t="s">
        <v>80</v>
      </c>
      <c r="F2234" s="15" t="str">
        <f>IFERROR(__xludf.DUMMYFUNCTION("GOOGLETRANSLATE(B2234,""en"",""ar"")"),"مكبر الصوت")</f>
        <v>مكبر الصوت</v>
      </c>
    </row>
    <row r="2235" ht="14.25" customHeight="1">
      <c r="A2235" s="5"/>
      <c r="B2235" s="2" t="s">
        <v>2385</v>
      </c>
      <c r="C2235" s="2">
        <v>1.0</v>
      </c>
      <c r="E2235" s="14" t="s">
        <v>95</v>
      </c>
      <c r="F2235" s="15" t="str">
        <f>IFERROR(__xludf.DUMMYFUNCTION("GOOGLETRANSLATE(B2235,""en"",""ar"")"),"يتهجى")</f>
        <v>يتهجى</v>
      </c>
    </row>
    <row r="2236" ht="14.25" customHeight="1">
      <c r="A2236" s="5"/>
      <c r="B2236" s="2" t="s">
        <v>2386</v>
      </c>
      <c r="C2236" s="2">
        <v>1.0</v>
      </c>
      <c r="E2236" s="14" t="s">
        <v>120</v>
      </c>
      <c r="F2236" s="15" t="str">
        <f>IFERROR(__xludf.DUMMYFUNCTION("GOOGLETRANSLATE(B2236,""en"",""ar"")"),"محطة")</f>
        <v>محطة</v>
      </c>
    </row>
    <row r="2237" ht="14.25" customHeight="1">
      <c r="A2237" s="5"/>
      <c r="B2237" s="2" t="s">
        <v>2387</v>
      </c>
      <c r="C2237" s="2">
        <v>1.0</v>
      </c>
      <c r="E2237" s="14" t="s">
        <v>80</v>
      </c>
      <c r="F2237" s="15" t="str">
        <f>IFERROR(__xludf.DUMMYFUNCTION("GOOGLETRANSLATE(B2237,""en"",""ar"")"),"شخص غريب")</f>
        <v>شخص غريب</v>
      </c>
    </row>
    <row r="2238" ht="14.25" customHeight="1">
      <c r="A2238" s="5"/>
      <c r="B2238" s="2" t="s">
        <v>2388</v>
      </c>
      <c r="C2238" s="2">
        <v>1.0</v>
      </c>
      <c r="E2238" s="14" t="s">
        <v>95</v>
      </c>
      <c r="F2238" s="15" t="str">
        <f>IFERROR(__xludf.DUMMYFUNCTION("GOOGLETRANSLATE(B2238,""en"",""ar"")"),"تمتد")</f>
        <v>تمتد</v>
      </c>
    </row>
    <row r="2239" ht="14.25" customHeight="1">
      <c r="A2239" s="5"/>
      <c r="B2239" s="2" t="s">
        <v>2389</v>
      </c>
      <c r="C2239" s="2">
        <v>1.0</v>
      </c>
      <c r="E2239" s="14" t="s">
        <v>236</v>
      </c>
      <c r="F2239" s="15" t="str">
        <f>IFERROR(__xludf.DUMMYFUNCTION("GOOGLETRANSLATE(B2239,""en"",""ar"")"),"غبي")</f>
        <v>غبي</v>
      </c>
    </row>
    <row r="2240" ht="14.25" customHeight="1">
      <c r="A2240" s="5"/>
      <c r="B2240" s="2" t="s">
        <v>2390</v>
      </c>
      <c r="C2240" s="2">
        <v>1.0</v>
      </c>
      <c r="E2240" s="14" t="s">
        <v>13</v>
      </c>
      <c r="F2240" s="15" t="str">
        <f>IFERROR(__xludf.DUMMYFUNCTION("GOOGLETRANSLATE(B2240,""en"",""ar"")"),"إرسال")</f>
        <v>إرسال</v>
      </c>
    </row>
    <row r="2241" ht="14.25" customHeight="1">
      <c r="A2241" s="5"/>
      <c r="B2241" s="2" t="s">
        <v>2391</v>
      </c>
      <c r="C2241" s="2">
        <v>1.0</v>
      </c>
      <c r="E2241" s="14" t="s">
        <v>113</v>
      </c>
      <c r="F2241" s="15" t="str">
        <f>IFERROR(__xludf.DUMMYFUNCTION("GOOGLETRANSLATE(B2241,""en"",""ar"")"),"حقيقي")</f>
        <v>حقيقي</v>
      </c>
    </row>
    <row r="2242" ht="14.25" customHeight="1">
      <c r="A2242" s="5"/>
      <c r="B2242" s="2" t="s">
        <v>2392</v>
      </c>
      <c r="C2242" s="2">
        <v>1.0</v>
      </c>
      <c r="E2242" s="14" t="s">
        <v>13</v>
      </c>
      <c r="F2242" s="15" t="str">
        <f>IFERROR(__xludf.DUMMYFUNCTION("GOOGLETRANSLATE(B2242,""en"",""ar"")"),"افترض")</f>
        <v>افترض</v>
      </c>
    </row>
    <row r="2243" ht="14.25" customHeight="1">
      <c r="A2243" s="5"/>
      <c r="B2243" s="2" t="s">
        <v>2393</v>
      </c>
      <c r="C2243" s="2">
        <v>1.0</v>
      </c>
      <c r="E2243" s="14" t="s">
        <v>80</v>
      </c>
      <c r="F2243" s="15" t="str">
        <f>IFERROR(__xludf.DUMMYFUNCTION("GOOGLETRANSLATE(B2243,""en"",""ar"")"),"الجراحة")</f>
        <v>الجراحة</v>
      </c>
    </row>
    <row r="2244" ht="14.25" customHeight="1">
      <c r="A2244" s="5"/>
      <c r="B2244" s="2" t="s">
        <v>2394</v>
      </c>
      <c r="C2244" s="2">
        <v>1.0</v>
      </c>
      <c r="E2244" s="14" t="s">
        <v>113</v>
      </c>
      <c r="F2244" s="15" t="str">
        <f>IFERROR(__xludf.DUMMYFUNCTION("GOOGLETRANSLATE(B2244,""en"",""ar"")"),"مثير للشك")</f>
        <v>مثير للشك</v>
      </c>
    </row>
    <row r="2245" ht="14.25" customHeight="1">
      <c r="A2245" s="5"/>
      <c r="B2245" s="2" t="s">
        <v>2395</v>
      </c>
      <c r="C2245" s="2">
        <v>1.0</v>
      </c>
      <c r="E2245" s="14" t="s">
        <v>80</v>
      </c>
      <c r="F2245" s="15" t="str">
        <f>IFERROR(__xludf.DUMMYFUNCTION("GOOGLETRANSLATE(B2245,""en"",""ar"")"),"تعاطف")</f>
        <v>تعاطف</v>
      </c>
    </row>
    <row r="2246" ht="14.25" customHeight="1">
      <c r="A2246" s="5"/>
      <c r="B2246" s="2" t="s">
        <v>2396</v>
      </c>
      <c r="C2246" s="2">
        <v>1.0</v>
      </c>
      <c r="E2246" s="14" t="s">
        <v>80</v>
      </c>
      <c r="F2246" s="15" t="str">
        <f>IFERROR(__xludf.DUMMYFUNCTION("GOOGLETRANSLATE(B2246,""en"",""ar"")"),"حكاية")</f>
        <v>حكاية</v>
      </c>
    </row>
    <row r="2247" ht="14.25" customHeight="1">
      <c r="A2247" s="5"/>
      <c r="B2247" s="2" t="s">
        <v>2397</v>
      </c>
      <c r="C2247" s="2">
        <v>1.0</v>
      </c>
      <c r="E2247" s="14" t="s">
        <v>113</v>
      </c>
      <c r="F2247" s="15" t="str">
        <f>IFERROR(__xludf.DUMMYFUNCTION("GOOGLETRANSLATE(B2247,""en"",""ar"")"),"طويل")</f>
        <v>طويل</v>
      </c>
    </row>
    <row r="2248" ht="14.25" customHeight="1">
      <c r="A2248" s="5"/>
      <c r="B2248" s="2" t="s">
        <v>2398</v>
      </c>
      <c r="C2248" s="2">
        <v>1.0</v>
      </c>
      <c r="E2248" s="14" t="s">
        <v>95</v>
      </c>
      <c r="F2248" s="15" t="str">
        <f>IFERROR(__xludf.DUMMYFUNCTION("GOOGLETRANSLATE(B2248,""en"",""ar"")"),"دمعة")</f>
        <v>دمعة</v>
      </c>
    </row>
    <row r="2249" ht="14.25" customHeight="1">
      <c r="A2249" s="5"/>
      <c r="B2249" s="2" t="s">
        <v>2399</v>
      </c>
      <c r="C2249" s="2">
        <v>1.0</v>
      </c>
      <c r="E2249" s="14" t="s">
        <v>236</v>
      </c>
      <c r="F2249" s="15" t="str">
        <f>IFERROR(__xludf.DUMMYFUNCTION("GOOGLETRANSLATE(B2249,""en"",""ar"")"),"مؤقت")</f>
        <v>مؤقت</v>
      </c>
    </row>
    <row r="2250" ht="14.25" customHeight="1">
      <c r="A2250" s="5"/>
      <c r="B2250" s="2" t="s">
        <v>2400</v>
      </c>
      <c r="C2250" s="2">
        <v>1.0</v>
      </c>
      <c r="E2250" s="14" t="s">
        <v>80</v>
      </c>
      <c r="F2250" s="15" t="str">
        <f>IFERROR(__xludf.DUMMYFUNCTION("GOOGLETRANSLATE(B2250,""en"",""ar"")"),"حُلقُوم")</f>
        <v>حُلقُوم</v>
      </c>
    </row>
    <row r="2251" ht="14.25" customHeight="1">
      <c r="A2251" s="5"/>
      <c r="B2251" s="2" t="s">
        <v>2401</v>
      </c>
      <c r="C2251" s="2">
        <v>1.0</v>
      </c>
      <c r="E2251" s="14" t="s">
        <v>113</v>
      </c>
      <c r="F2251" s="15" t="str">
        <f>IFERROR(__xludf.DUMMYFUNCTION("GOOGLETRANSLATE(B2251,""en"",""ar"")"),"صغير الحجم")</f>
        <v>صغير الحجم</v>
      </c>
    </row>
    <row r="2252" ht="14.25" customHeight="1">
      <c r="A2252" s="5"/>
      <c r="B2252" s="2" t="s">
        <v>2402</v>
      </c>
      <c r="C2252" s="2">
        <v>1.0</v>
      </c>
      <c r="E2252" s="14" t="s">
        <v>120</v>
      </c>
      <c r="F2252" s="15" t="str">
        <f>IFERROR(__xludf.DUMMYFUNCTION("GOOGLETRANSLATE(B2252,""en"",""ar"")"),"إصبع قدم")</f>
        <v>إصبع قدم</v>
      </c>
    </row>
    <row r="2253" ht="14.25" customHeight="1">
      <c r="A2253" s="5"/>
      <c r="B2253" s="2" t="s">
        <v>2403</v>
      </c>
      <c r="C2253" s="2">
        <v>1.0</v>
      </c>
      <c r="E2253" s="14" t="s">
        <v>315</v>
      </c>
      <c r="F2253" s="15" t="str">
        <f>IFERROR(__xludf.DUMMYFUNCTION("GOOGLETRANSLATE(B2253,""en"",""ar"")"),"الغد")</f>
        <v>الغد</v>
      </c>
    </row>
    <row r="2254" ht="14.25" customHeight="1">
      <c r="A2254" s="5"/>
      <c r="B2254" s="2" t="s">
        <v>2404</v>
      </c>
      <c r="C2254" s="2">
        <v>1.0</v>
      </c>
      <c r="E2254" s="14" t="s">
        <v>120</v>
      </c>
      <c r="F2254" s="15" t="str">
        <f>IFERROR(__xludf.DUMMYFUNCTION("GOOGLETRANSLATE(B2254,""en"",""ar"")"),"برج")</f>
        <v>برج</v>
      </c>
    </row>
    <row r="2255" ht="14.25" customHeight="1">
      <c r="A2255" s="5"/>
      <c r="B2255" s="2" t="s">
        <v>2405</v>
      </c>
      <c r="C2255" s="2">
        <v>1.0</v>
      </c>
      <c r="E2255" s="14" t="s">
        <v>80</v>
      </c>
      <c r="F2255" s="15" t="str">
        <f>IFERROR(__xludf.DUMMYFUNCTION("GOOGLETRANSLATE(B2255,""en"",""ar"")"),"مدرب")</f>
        <v>مدرب</v>
      </c>
    </row>
    <row r="2256" ht="14.25" customHeight="1">
      <c r="A2256" s="5"/>
      <c r="B2256" s="2" t="s">
        <v>2406</v>
      </c>
      <c r="C2256" s="2">
        <v>1.0</v>
      </c>
      <c r="E2256" s="14" t="s">
        <v>13</v>
      </c>
      <c r="F2256" s="15" t="str">
        <f>IFERROR(__xludf.DUMMYFUNCTION("GOOGLETRANSLATE(B2256,""en"",""ar"")"),"يترجم")</f>
        <v>يترجم</v>
      </c>
    </row>
    <row r="2257" ht="14.25" customHeight="1">
      <c r="A2257" s="5"/>
      <c r="B2257" s="2" t="s">
        <v>2407</v>
      </c>
      <c r="C2257" s="2">
        <v>1.0</v>
      </c>
      <c r="E2257" s="14" t="s">
        <v>120</v>
      </c>
      <c r="F2257" s="15" t="str">
        <f>IFERROR(__xludf.DUMMYFUNCTION("GOOGLETRANSLATE(B2257,""en"",""ar"")"),"شاحنة")</f>
        <v>شاحنة</v>
      </c>
    </row>
    <row r="2258" ht="14.25" customHeight="1">
      <c r="A2258" s="5"/>
      <c r="B2258" s="2" t="s">
        <v>2408</v>
      </c>
      <c r="C2258" s="2">
        <v>1.0</v>
      </c>
      <c r="E2258" s="14" t="s">
        <v>80</v>
      </c>
      <c r="F2258" s="15" t="str">
        <f>IFERROR(__xludf.DUMMYFUNCTION("GOOGLETRANSLATE(B2258,""en"",""ar"")"),"اخو الام")</f>
        <v>اخو الام</v>
      </c>
    </row>
    <row r="2259" ht="14.25" customHeight="1">
      <c r="A2259" s="5"/>
      <c r="B2259" s="2" t="s">
        <v>2409</v>
      </c>
      <c r="C2259" s="2">
        <v>1.0</v>
      </c>
      <c r="E2259" s="14" t="s">
        <v>95</v>
      </c>
      <c r="F2259" s="15" t="str">
        <f>IFERROR(__xludf.DUMMYFUNCTION("GOOGLETRANSLATE(B2259,""en"",""ar"")"),"استيقظ")</f>
        <v>استيقظ</v>
      </c>
    </row>
    <row r="2260" ht="14.25" customHeight="1">
      <c r="A2260" s="5"/>
      <c r="B2260" s="2" t="s">
        <v>2410</v>
      </c>
      <c r="C2260" s="2">
        <v>1.0</v>
      </c>
      <c r="E2260" s="14" t="s">
        <v>337</v>
      </c>
      <c r="F2260" s="15" t="str">
        <f>IFERROR(__xludf.DUMMYFUNCTION("GOOGLETRANSLATE(B2260,""en"",""ar"")"),"أسبوعي")</f>
        <v>أسبوعي</v>
      </c>
    </row>
    <row r="2261" ht="14.25" customHeight="1">
      <c r="A2261" s="5"/>
      <c r="B2261" s="2" t="s">
        <v>2411</v>
      </c>
      <c r="C2261" s="2">
        <v>1.0</v>
      </c>
      <c r="E2261" s="14" t="s">
        <v>31</v>
      </c>
      <c r="F2261" s="15" t="str">
        <f>IFERROR(__xludf.DUMMYFUNCTION("GOOGLETRANSLATE(B2261,""en"",""ar"")"),"أيا كان")</f>
        <v>أيا كان</v>
      </c>
    </row>
    <row r="2262" ht="14.25" customHeight="1">
      <c r="A2262" s="5"/>
      <c r="B2262" s="2" t="s">
        <v>2412</v>
      </c>
      <c r="C2262" s="2">
        <v>1.0</v>
      </c>
      <c r="E2262" s="14" t="s">
        <v>120</v>
      </c>
      <c r="F2262" s="15" t="str">
        <f>IFERROR(__xludf.DUMMYFUNCTION("GOOGLETRANSLATE(B2262,""en"",""ar"")"),"الشاهد")</f>
        <v>الشاهد</v>
      </c>
    </row>
    <row r="2263" ht="14.25" customHeight="1">
      <c r="A2263" s="5"/>
      <c r="B2263" s="2" t="s">
        <v>2413</v>
      </c>
      <c r="C2263" s="2">
        <v>1.0</v>
      </c>
      <c r="E2263" s="14" t="s">
        <v>95</v>
      </c>
      <c r="F2263" s="15" t="str">
        <f>IFERROR(__xludf.DUMMYFUNCTION("GOOGLETRANSLATE(B2263,""en"",""ar"")"),"طَوّق")</f>
        <v>طَوّق</v>
      </c>
    </row>
    <row r="2264" ht="14.25" customHeight="1">
      <c r="A2264" s="5"/>
      <c r="B2264" s="2" t="s">
        <v>2414</v>
      </c>
      <c r="C2264" s="2">
        <v>1.0</v>
      </c>
      <c r="E2264" s="14" t="s">
        <v>315</v>
      </c>
      <c r="F2264" s="15" t="str">
        <f>IFERROR(__xludf.DUMMYFUNCTION("GOOGLETRANSLATE(B2264,""en"",""ar"")"),"في الامس")</f>
        <v>في الامس</v>
      </c>
    </row>
    <row r="2265" ht="14.25" customHeight="1">
      <c r="A2265" s="5"/>
      <c r="B2265" s="2" t="s">
        <v>2415</v>
      </c>
      <c r="C2265" s="2">
        <v>1.0</v>
      </c>
      <c r="E2265" s="14" t="s">
        <v>80</v>
      </c>
      <c r="F2265" s="15" t="str">
        <f>IFERROR(__xludf.DUMMYFUNCTION("GOOGLETRANSLATE(B2265,""en"",""ar"")"),"شباب")</f>
        <v>شباب</v>
      </c>
    </row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10.0"/>
    <col customWidth="1" min="7" max="26" width="16.43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10.0"/>
    <col customWidth="1" min="7" max="26" width="16.43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2015-08-17T09:38:49Z</dcterms:created>
  <dc:creator>ahmed</dc:creator>
</cp:coreProperties>
</file>