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597394\Desktop\"/>
    </mc:Choice>
  </mc:AlternateContent>
  <xr:revisionPtr revIDLastSave="0" documentId="13_ncr:1_{5B74E39C-F874-47B1-A880-2218D979E180}" xr6:coauthVersionLast="46" xr6:coauthVersionMax="46" xr10:uidLastSave="{00000000-0000-0000-0000-000000000000}"/>
  <bookViews>
    <workbookView xWindow="-110" yWindow="-110" windowWidth="19420" windowHeight="10560" tabRatio="914" activeTab="6" xr2:uid="{00000000-000D-0000-FFFF-FFFF00000000}"/>
  </bookViews>
  <sheets>
    <sheet name="MyTrade_April21" sheetId="19" r:id="rId1"/>
    <sheet name="MyTrade_May21" sheetId="20" r:id="rId2"/>
    <sheet name="MyTrade_June21" sheetId="21" r:id="rId3"/>
    <sheet name="MyTrade_July21" sheetId="22" r:id="rId4"/>
    <sheet name="MyTrade_Aug21" sheetId="23" r:id="rId5"/>
    <sheet name="MyTrade_Sep21" sheetId="24" r:id="rId6"/>
    <sheet name="MyTrade_Nov21" sheetId="26" r:id="rId7"/>
    <sheet name="Index" sheetId="17" r:id="rId8"/>
    <sheet name="Offering OR Capability Launches" sheetId="10" r:id="rId9"/>
    <sheet name="Client Visits" sheetId="8" r:id="rId10"/>
    <sheet name="RFP-RFI" sheetId="7" r:id="rId11"/>
    <sheet name="Delivery Support" sheetId="6" r:id="rId12"/>
    <sheet name="COPs-Yammers" sheetId="1" r:id="rId13"/>
    <sheet name="Technical Demos" sheetId="3" r:id="rId14"/>
    <sheet name="Scripts" sheetId="4" r:id="rId15"/>
    <sheet name="Proof of Concepts" sheetId="9" r:id="rId16"/>
    <sheet name="POV-SBC-Innovation-Client Story" sheetId="16" r:id="rId17"/>
    <sheet name="Blogs" sheetId="2" r:id="rId18"/>
    <sheet name="Events - Communication" sheetId="14" r:id="rId19"/>
    <sheet name="Others" sheetId="15" r:id="rId20"/>
    <sheet name=" Solutions" sheetId="18" r:id="rId21"/>
  </sheets>
  <definedNames>
    <definedName name="_xlnm._FilterDatabase" localSheetId="11" hidden="1">'Delivery Support'!$B$3:$H$13</definedName>
    <definedName name="_xlnm._FilterDatabase" localSheetId="19" hidden="1">Others!$B$3:$H$38</definedName>
    <definedName name="_xlnm._FilterDatabase" localSheetId="16" hidden="1">'POV-SBC-Innovation-Client Story'!$B$3:$H$13</definedName>
    <definedName name="_xlnm._FilterDatabase" localSheetId="15" hidden="1">'Proof of Concepts'!$B$3:$H$13</definedName>
    <definedName name="_xlnm._FilterDatabase" localSheetId="10" hidden="1">'RFP-RFI'!$A$1:$E$14</definedName>
    <definedName name="_xlnm._FilterDatabase" localSheetId="14" hidden="1">Scripts!$B$3:$H$13</definedName>
    <definedName name="_xlnm._FilterDatabase" localSheetId="13" hidden="1">'Technical Demos'!$B$3:$H$16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26" l="1"/>
  <c r="L32" i="26"/>
  <c r="J32" i="26"/>
  <c r="K32" i="26" s="1"/>
  <c r="F32" i="26"/>
  <c r="L31" i="26"/>
  <c r="J31" i="26"/>
  <c r="K31" i="26" s="1"/>
  <c r="F31" i="26"/>
  <c r="L30" i="26"/>
  <c r="K30" i="26"/>
  <c r="J30" i="26"/>
  <c r="F30" i="26"/>
  <c r="L29" i="26"/>
  <c r="J29" i="26"/>
  <c r="K29" i="26" s="1"/>
  <c r="F29" i="26"/>
  <c r="L28" i="26"/>
  <c r="K28" i="26"/>
  <c r="J28" i="26"/>
  <c r="F28" i="26"/>
  <c r="L27" i="26"/>
  <c r="J27" i="26"/>
  <c r="K27" i="26" s="1"/>
  <c r="F27" i="26"/>
  <c r="L26" i="26"/>
  <c r="K26" i="26"/>
  <c r="J26" i="26"/>
  <c r="F26" i="26"/>
  <c r="L25" i="26"/>
  <c r="J25" i="26"/>
  <c r="K25" i="26" s="1"/>
  <c r="F25" i="26"/>
  <c r="J24" i="26"/>
  <c r="F23" i="26"/>
  <c r="F22" i="26"/>
  <c r="L22" i="26" s="1"/>
  <c r="L21" i="26"/>
  <c r="F21" i="26"/>
  <c r="F20" i="26"/>
  <c r="L20" i="26" s="1"/>
  <c r="L19" i="26"/>
  <c r="K19" i="26"/>
  <c r="F19" i="26"/>
  <c r="F18" i="26"/>
  <c r="J17" i="26"/>
  <c r="F17" i="26"/>
  <c r="L16" i="26"/>
  <c r="J16" i="26"/>
  <c r="K16" i="26" s="1"/>
  <c r="F16" i="26"/>
  <c r="L15" i="26"/>
  <c r="K15" i="26"/>
  <c r="J15" i="26"/>
  <c r="F15" i="26"/>
  <c r="L14" i="26"/>
  <c r="J14" i="26"/>
  <c r="K14" i="26" s="1"/>
  <c r="F14" i="26"/>
  <c r="F13" i="26"/>
  <c r="K7" i="24"/>
  <c r="F2" i="24"/>
  <c r="J2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5" i="24"/>
  <c r="F26" i="24"/>
  <c r="F27" i="24"/>
  <c r="F28" i="24"/>
  <c r="F29" i="24"/>
  <c r="F30" i="24"/>
  <c r="F31" i="24"/>
  <c r="F32" i="24"/>
  <c r="K18" i="26" l="1"/>
  <c r="L18" i="26" s="1"/>
  <c r="K17" i="26"/>
  <c r="L17" i="26" s="1"/>
  <c r="J13" i="26"/>
  <c r="K13" i="26" s="1"/>
  <c r="L13" i="26" s="1"/>
  <c r="J20" i="26"/>
  <c r="K20" i="26" s="1"/>
  <c r="J22" i="26"/>
  <c r="K22" i="26" s="1"/>
  <c r="J21" i="26"/>
  <c r="K21" i="26" s="1"/>
  <c r="J23" i="26"/>
  <c r="K23" i="26" s="1"/>
  <c r="L23" i="26" s="1"/>
  <c r="F3" i="24"/>
  <c r="L32" i="24" l="1"/>
  <c r="J32" i="24"/>
  <c r="K32" i="24" s="1"/>
  <c r="J31" i="24"/>
  <c r="K31" i="24" s="1"/>
  <c r="L31" i="24" s="1"/>
  <c r="J30" i="24"/>
  <c r="K30" i="24" s="1"/>
  <c r="L30" i="24"/>
  <c r="L29" i="24"/>
  <c r="J29" i="24"/>
  <c r="K29" i="24" s="1"/>
  <c r="L28" i="24"/>
  <c r="J28" i="24"/>
  <c r="K28" i="24" s="1"/>
  <c r="J27" i="24"/>
  <c r="K27" i="24" s="1"/>
  <c r="L27" i="24"/>
  <c r="J26" i="24"/>
  <c r="L25" i="24"/>
  <c r="J24" i="24"/>
  <c r="K23" i="24"/>
  <c r="L23" i="24" s="1"/>
  <c r="L22" i="24"/>
  <c r="J22" i="24"/>
  <c r="K22" i="24" s="1"/>
  <c r="L21" i="24"/>
  <c r="J21" i="24"/>
  <c r="K21" i="24" s="1"/>
  <c r="L20" i="24"/>
  <c r="J20" i="24"/>
  <c r="K20" i="24" s="1"/>
  <c r="L19" i="24"/>
  <c r="K19" i="24"/>
  <c r="L18" i="24"/>
  <c r="J18" i="24"/>
  <c r="K18" i="24" s="1"/>
  <c r="L17" i="24"/>
  <c r="J17" i="24"/>
  <c r="K17" i="24" s="1"/>
  <c r="L16" i="24"/>
  <c r="J16" i="24"/>
  <c r="K16" i="24" s="1"/>
  <c r="L15" i="24"/>
  <c r="J15" i="24"/>
  <c r="K15" i="24" s="1"/>
  <c r="L14" i="24"/>
  <c r="L13" i="24"/>
  <c r="J13" i="24"/>
  <c r="K13" i="24" s="1"/>
  <c r="J11" i="24"/>
  <c r="K11" i="24" s="1"/>
  <c r="L11" i="24" s="1"/>
  <c r="L10" i="24"/>
  <c r="J10" i="24"/>
  <c r="L9" i="24"/>
  <c r="J9" i="24"/>
  <c r="K9" i="24" s="1"/>
  <c r="L8" i="24"/>
  <c r="L7" i="24"/>
  <c r="J7" i="24"/>
  <c r="L6" i="24"/>
  <c r="J6" i="24"/>
  <c r="J5" i="24"/>
  <c r="J4" i="24"/>
  <c r="K4" i="24" s="1"/>
  <c r="L4" i="24"/>
  <c r="J3" i="24"/>
  <c r="K3" i="24" s="1"/>
  <c r="L3" i="24" s="1"/>
  <c r="J2" i="24"/>
  <c r="J25" i="24" l="1"/>
  <c r="K25" i="24" s="1"/>
  <c r="K26" i="24"/>
  <c r="L26" i="24"/>
  <c r="K5" i="24"/>
  <c r="L5" i="24"/>
  <c r="J12" i="24"/>
  <c r="K12" i="24" s="1"/>
  <c r="L12" i="24" s="1"/>
  <c r="J14" i="24"/>
  <c r="K14" i="24" s="1"/>
  <c r="J8" i="24"/>
  <c r="K8" i="24" s="1"/>
  <c r="K2" i="24"/>
  <c r="L2" i="24" s="1"/>
  <c r="F12" i="23" l="1"/>
  <c r="L32" i="23" l="1"/>
  <c r="J32" i="23"/>
  <c r="K32" i="23" s="1"/>
  <c r="F31" i="23"/>
  <c r="F30" i="23"/>
  <c r="J30" i="23" s="1"/>
  <c r="K30" i="23" s="1"/>
  <c r="F29" i="23"/>
  <c r="J29" i="23" s="1"/>
  <c r="K29" i="23" s="1"/>
  <c r="L29" i="23" s="1"/>
  <c r="L28" i="23"/>
  <c r="J28" i="23"/>
  <c r="K28" i="23" s="1"/>
  <c r="F27" i="23"/>
  <c r="J27" i="23" s="1"/>
  <c r="F26" i="23"/>
  <c r="F25" i="23"/>
  <c r="J25" i="23" s="1"/>
  <c r="J24" i="23"/>
  <c r="F23" i="23"/>
  <c r="J23" i="23" s="1"/>
  <c r="K23" i="23" s="1"/>
  <c r="L23" i="23" s="1"/>
  <c r="F22" i="23"/>
  <c r="J22" i="23" s="1"/>
  <c r="K22" i="23" s="1"/>
  <c r="L22" i="23" s="1"/>
  <c r="L21" i="23"/>
  <c r="J21" i="23"/>
  <c r="K21" i="23" s="1"/>
  <c r="L20" i="23"/>
  <c r="J20" i="23"/>
  <c r="K20" i="23" s="1"/>
  <c r="L19" i="23"/>
  <c r="K19" i="23"/>
  <c r="J18" i="23"/>
  <c r="K18" i="23" s="1"/>
  <c r="L18" i="23" s="1"/>
  <c r="J17" i="23"/>
  <c r="K17" i="23" s="1"/>
  <c r="J16" i="23"/>
  <c r="K16" i="23" s="1"/>
  <c r="L16" i="23" s="1"/>
  <c r="F15" i="23"/>
  <c r="J15" i="23" s="1"/>
  <c r="K15" i="23" s="1"/>
  <c r="F14" i="23"/>
  <c r="J14" i="23" s="1"/>
  <c r="K14" i="23" s="1"/>
  <c r="L14" i="23" s="1"/>
  <c r="F13" i="23"/>
  <c r="J13" i="23" s="1"/>
  <c r="K13" i="23" s="1"/>
  <c r="J12" i="23"/>
  <c r="K12" i="23" s="1"/>
  <c r="F11" i="23"/>
  <c r="J11" i="23" s="1"/>
  <c r="K11" i="23" s="1"/>
  <c r="L11" i="23" s="1"/>
  <c r="F10" i="23"/>
  <c r="L10" i="23" s="1"/>
  <c r="F9" i="23"/>
  <c r="F8" i="23"/>
  <c r="L8" i="23" s="1"/>
  <c r="F7" i="23"/>
  <c r="J7" i="23" s="1"/>
  <c r="F6" i="23"/>
  <c r="L6" i="23" s="1"/>
  <c r="F5" i="23"/>
  <c r="L5" i="23" s="1"/>
  <c r="F4" i="23"/>
  <c r="L4" i="23" s="1"/>
  <c r="F2" i="23"/>
  <c r="J31" i="23" l="1"/>
  <c r="K31" i="23" s="1"/>
  <c r="L31" i="23" s="1"/>
  <c r="L26" i="23"/>
  <c r="J26" i="23"/>
  <c r="L12" i="23"/>
  <c r="L30" i="23"/>
  <c r="L15" i="23"/>
  <c r="J3" i="23"/>
  <c r="K3" i="23" s="1"/>
  <c r="L3" i="23" s="1"/>
  <c r="K7" i="23"/>
  <c r="L7" i="23" s="1"/>
  <c r="K25" i="23"/>
  <c r="L25" i="23" s="1"/>
  <c r="K27" i="23"/>
  <c r="J8" i="23"/>
  <c r="K8" i="23" s="1"/>
  <c r="L2" i="23"/>
  <c r="J9" i="23"/>
  <c r="L13" i="23"/>
  <c r="L17" i="23"/>
  <c r="J5" i="23"/>
  <c r="K5" i="23" s="1"/>
  <c r="K9" i="23"/>
  <c r="L9" i="23" s="1"/>
  <c r="L27" i="23"/>
  <c r="J10" i="23"/>
  <c r="K26" i="23"/>
  <c r="J2" i="23"/>
  <c r="K2" i="23" s="1"/>
  <c r="J4" i="23"/>
  <c r="K4" i="23" s="1"/>
  <c r="J6" i="23"/>
  <c r="J20" i="22" l="1"/>
  <c r="J24" i="22"/>
  <c r="J32" i="22"/>
  <c r="K32" i="22" s="1"/>
  <c r="J33" i="22"/>
  <c r="F33" i="22"/>
  <c r="K33" i="22" l="1"/>
  <c r="L33" i="22" s="1"/>
  <c r="J31" i="22"/>
  <c r="F31" i="22"/>
  <c r="K31" i="22" l="1"/>
  <c r="L31" i="22" s="1"/>
  <c r="F30" i="22"/>
  <c r="J30" i="22" s="1"/>
  <c r="J28" i="22" l="1"/>
  <c r="L19" i="22" l="1"/>
  <c r="L20" i="22"/>
  <c r="L21" i="22"/>
  <c r="K20" i="22"/>
  <c r="J21" i="22"/>
  <c r="K21" i="22" s="1"/>
  <c r="F23" i="22"/>
  <c r="J23" i="22" s="1"/>
  <c r="F22" i="22"/>
  <c r="J22" i="22" s="1"/>
  <c r="K22" i="22" s="1"/>
  <c r="L22" i="22" s="1"/>
  <c r="K23" i="22" l="1"/>
  <c r="L23" i="22" s="1"/>
  <c r="F18" i="22"/>
  <c r="J15" i="22" l="1"/>
  <c r="K15" i="22" s="1"/>
  <c r="F15" i="22"/>
  <c r="L15" i="22" s="1"/>
  <c r="F16" i="22"/>
  <c r="F17" i="22"/>
  <c r="F11" i="22" l="1"/>
  <c r="L11" i="22" s="1"/>
  <c r="J11" i="22" l="1"/>
  <c r="F3" i="22" l="1"/>
  <c r="J3" i="22" s="1"/>
  <c r="L32" i="22"/>
  <c r="K30" i="22"/>
  <c r="L30" i="22" s="1"/>
  <c r="F29" i="22"/>
  <c r="J29" i="22" s="1"/>
  <c r="K28" i="22"/>
  <c r="L28" i="22" s="1"/>
  <c r="F27" i="22"/>
  <c r="L27" i="22" s="1"/>
  <c r="F26" i="22"/>
  <c r="L26" i="22" s="1"/>
  <c r="F25" i="22"/>
  <c r="J19" i="22"/>
  <c r="K19" i="22" s="1"/>
  <c r="J18" i="22"/>
  <c r="J17" i="22"/>
  <c r="K17" i="22" s="1"/>
  <c r="L17" i="22" s="1"/>
  <c r="J16" i="22"/>
  <c r="K16" i="22" s="1"/>
  <c r="L16" i="22" s="1"/>
  <c r="F14" i="22"/>
  <c r="J14" i="22" s="1"/>
  <c r="K14" i="22" s="1"/>
  <c r="F13" i="22"/>
  <c r="J13" i="22" s="1"/>
  <c r="K13" i="22" s="1"/>
  <c r="F12" i="22"/>
  <c r="L12" i="22" s="1"/>
  <c r="F10" i="22"/>
  <c r="L10" i="22" s="1"/>
  <c r="F9" i="22"/>
  <c r="F8" i="22"/>
  <c r="L8" i="22" s="1"/>
  <c r="F7" i="22"/>
  <c r="J7" i="22" s="1"/>
  <c r="F6" i="22"/>
  <c r="L6" i="22" s="1"/>
  <c r="F5" i="22"/>
  <c r="L5" i="22" s="1"/>
  <c r="F4" i="22"/>
  <c r="F2" i="22"/>
  <c r="J2" i="22" s="1"/>
  <c r="K2" i="22" s="1"/>
  <c r="L2" i="22" s="1"/>
  <c r="J26" i="22" l="1"/>
  <c r="K26" i="22" s="1"/>
  <c r="J12" i="22"/>
  <c r="K12" i="22" s="1"/>
  <c r="J25" i="22"/>
  <c r="K25" i="22" s="1"/>
  <c r="L25" i="22" s="1"/>
  <c r="L13" i="22"/>
  <c r="K18" i="22"/>
  <c r="L18" i="22" s="1"/>
  <c r="J8" i="22"/>
  <c r="K8" i="22" s="1"/>
  <c r="L14" i="22"/>
  <c r="J10" i="22"/>
  <c r="K3" i="22"/>
  <c r="L3" i="22" s="1"/>
  <c r="J9" i="22"/>
  <c r="K9" i="22" s="1"/>
  <c r="L9" i="22" s="1"/>
  <c r="K7" i="22"/>
  <c r="L7" i="22" s="1"/>
  <c r="J27" i="22"/>
  <c r="K27" i="22" s="1"/>
  <c r="K29" i="22"/>
  <c r="L29" i="22" s="1"/>
  <c r="J5" i="22"/>
  <c r="K5" i="22" s="1"/>
  <c r="J4" i="22"/>
  <c r="K4" i="22" s="1"/>
  <c r="L4" i="22" s="1"/>
  <c r="J6" i="22"/>
  <c r="F19" i="21"/>
  <c r="J19" i="21" s="1"/>
  <c r="K19" i="21" s="1"/>
  <c r="L19" i="21" s="1"/>
  <c r="J18" i="21"/>
  <c r="K18" i="21" s="1"/>
  <c r="L18" i="21" s="1"/>
  <c r="F16" i="21"/>
  <c r="L16" i="21" s="1"/>
  <c r="F17" i="21"/>
  <c r="L17" i="21" s="1"/>
  <c r="F18" i="21"/>
  <c r="J17" i="21" l="1"/>
  <c r="K17" i="21" s="1"/>
  <c r="J16" i="21"/>
  <c r="K16" i="21" s="1"/>
  <c r="F30" i="21" l="1"/>
  <c r="L28" i="21"/>
  <c r="F27" i="21"/>
  <c r="F26" i="21"/>
  <c r="J26" i="21" s="1"/>
  <c r="F25" i="21"/>
  <c r="L25" i="21" s="1"/>
  <c r="F24" i="21"/>
  <c r="L24" i="21" s="1"/>
  <c r="F23" i="21"/>
  <c r="F22" i="21"/>
  <c r="J22" i="21" s="1"/>
  <c r="F15" i="21"/>
  <c r="F13" i="21"/>
  <c r="L13" i="21" s="1"/>
  <c r="F12" i="21"/>
  <c r="F11" i="21"/>
  <c r="J11" i="21" s="1"/>
  <c r="K11" i="21" s="1"/>
  <c r="L11" i="21" s="1"/>
  <c r="F10" i="21"/>
  <c r="J10" i="21" s="1"/>
  <c r="J9" i="21"/>
  <c r="K9" i="21" s="1"/>
  <c r="F9" i="21"/>
  <c r="F8" i="21"/>
  <c r="L8" i="21" s="1"/>
  <c r="F7" i="21"/>
  <c r="L7" i="21" s="1"/>
  <c r="F6" i="21"/>
  <c r="F5" i="21"/>
  <c r="L5" i="21" s="1"/>
  <c r="F4" i="21"/>
  <c r="J3" i="21"/>
  <c r="K3" i="21" s="1"/>
  <c r="L3" i="21" s="1"/>
  <c r="F2" i="21"/>
  <c r="J2" i="21" s="1"/>
  <c r="J5" i="21" l="1"/>
  <c r="K5" i="21" s="1"/>
  <c r="J13" i="21"/>
  <c r="K13" i="21" s="1"/>
  <c r="J30" i="21"/>
  <c r="K30" i="21" s="1"/>
  <c r="L30" i="21" s="1"/>
  <c r="K28" i="21"/>
  <c r="J15" i="21"/>
  <c r="K15" i="21" s="1"/>
  <c r="L15" i="21" s="1"/>
  <c r="L9" i="21"/>
  <c r="J7" i="21"/>
  <c r="K7" i="21" s="1"/>
  <c r="K27" i="21"/>
  <c r="L27" i="21" s="1"/>
  <c r="J23" i="21"/>
  <c r="K23" i="21" s="1"/>
  <c r="L23" i="21" s="1"/>
  <c r="J25" i="21"/>
  <c r="K25" i="21" s="1"/>
  <c r="K2" i="21"/>
  <c r="L2" i="21" s="1"/>
  <c r="J4" i="21"/>
  <c r="K4" i="21" s="1"/>
  <c r="L4" i="21" s="1"/>
  <c r="J8" i="21"/>
  <c r="K8" i="21" s="1"/>
  <c r="J12" i="21"/>
  <c r="K12" i="21" s="1"/>
  <c r="L10" i="21"/>
  <c r="K22" i="21"/>
  <c r="L22" i="21" s="1"/>
  <c r="K26" i="21"/>
  <c r="L26" i="21" s="1"/>
  <c r="L6" i="21"/>
  <c r="L12" i="21"/>
  <c r="J6" i="21"/>
  <c r="K24" i="21"/>
  <c r="F28" i="20"/>
  <c r="F30" i="20"/>
  <c r="J30" i="20" s="1"/>
  <c r="L28" i="20" l="1"/>
  <c r="J28" i="20"/>
  <c r="K28" i="20" s="1"/>
  <c r="F8" i="20" l="1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J23" i="20" s="1"/>
  <c r="F24" i="20"/>
  <c r="F25" i="20"/>
  <c r="F26" i="20"/>
  <c r="F27" i="20"/>
  <c r="F3" i="20"/>
  <c r="F4" i="20"/>
  <c r="F5" i="20"/>
  <c r="F6" i="20"/>
  <c r="F7" i="20"/>
  <c r="J13" i="20" l="1"/>
  <c r="K13" i="20" s="1"/>
  <c r="L13" i="20"/>
  <c r="L22" i="20"/>
  <c r="J22" i="20"/>
  <c r="K22" i="20" s="1"/>
  <c r="J14" i="20"/>
  <c r="K14" i="20" s="1"/>
  <c r="L14" i="20"/>
  <c r="J20" i="20"/>
  <c r="K20" i="20" s="1"/>
  <c r="L20" i="20"/>
  <c r="K12" i="20"/>
  <c r="J12" i="20"/>
  <c r="L12" i="20"/>
  <c r="K15" i="20"/>
  <c r="L15" i="20"/>
  <c r="J15" i="20"/>
  <c r="J21" i="20"/>
  <c r="L21" i="20"/>
  <c r="K21" i="20"/>
  <c r="L26" i="20"/>
  <c r="J26" i="20"/>
  <c r="K26" i="20" s="1"/>
  <c r="J10" i="20"/>
  <c r="K10" i="20" s="1"/>
  <c r="L10" i="20" s="1"/>
  <c r="L25" i="20"/>
  <c r="J25" i="20"/>
  <c r="K25" i="20" s="1"/>
  <c r="G18" i="20"/>
  <c r="J18" i="20" s="1"/>
  <c r="J17" i="20"/>
  <c r="K9" i="20"/>
  <c r="L9" i="20"/>
  <c r="J9" i="20"/>
  <c r="L24" i="20"/>
  <c r="K24" i="20"/>
  <c r="J24" i="20"/>
  <c r="L8" i="20"/>
  <c r="J8" i="20"/>
  <c r="K8" i="20" s="1"/>
  <c r="J27" i="20"/>
  <c r="K27" i="20" s="1"/>
  <c r="L27" i="20" s="1"/>
  <c r="K23" i="20"/>
  <c r="L23" i="20" s="1"/>
  <c r="J19" i="20"/>
  <c r="K19" i="20" s="1"/>
  <c r="L19" i="20" s="1"/>
  <c r="K18" i="20"/>
  <c r="L18" i="20" s="1"/>
  <c r="K17" i="20"/>
  <c r="L17" i="20" s="1"/>
  <c r="J16" i="20"/>
  <c r="K16" i="20" s="1"/>
  <c r="L16" i="20" s="1"/>
  <c r="J11" i="20"/>
  <c r="K11" i="20" s="1"/>
  <c r="L11" i="20" s="1"/>
  <c r="L7" i="20"/>
  <c r="J7" i="20"/>
  <c r="K7" i="20" s="1"/>
  <c r="L4" i="20"/>
  <c r="F2" i="20"/>
  <c r="J2" i="20" s="1"/>
  <c r="K2" i="20" s="1"/>
  <c r="J3" i="20" l="1"/>
  <c r="J6" i="20"/>
  <c r="K6" i="20" s="1"/>
  <c r="L6" i="20" s="1"/>
  <c r="L2" i="20"/>
  <c r="F9" i="9"/>
  <c r="E6" i="9"/>
  <c r="E5" i="9"/>
  <c r="E4" i="9"/>
  <c r="E8" i="9" s="1"/>
  <c r="E9" i="9" s="1"/>
  <c r="K3" i="20" l="1"/>
  <c r="L3" i="20" s="1"/>
  <c r="J4" i="20"/>
  <c r="F26" i="19"/>
  <c r="F10" i="19"/>
  <c r="J5" i="20" l="1"/>
  <c r="K5" i="20" s="1"/>
  <c r="L5" i="20" s="1"/>
  <c r="K4" i="20"/>
  <c r="F17" i="19"/>
  <c r="F16" i="19" l="1"/>
  <c r="J8" i="19" l="1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F9" i="19" l="1"/>
  <c r="J9" i="19" s="1"/>
  <c r="J7" i="19" l="1"/>
  <c r="F6" i="19"/>
  <c r="J6" i="19" s="1"/>
  <c r="E6" i="19" l="1"/>
  <c r="F3" i="19"/>
  <c r="J3" i="19" s="1"/>
  <c r="F4" i="19"/>
  <c r="F5" i="19"/>
  <c r="K24" i="19" l="1"/>
  <c r="K19" i="19"/>
  <c r="K13" i="19"/>
  <c r="G4" i="19" l="1"/>
  <c r="J4" i="19" s="1"/>
  <c r="K25" i="19"/>
  <c r="K26" i="19"/>
  <c r="L26" i="19" s="1"/>
  <c r="L25" i="19"/>
  <c r="L27" i="19"/>
  <c r="K20" i="19"/>
  <c r="K21" i="19"/>
  <c r="K22" i="19"/>
  <c r="K23" i="19"/>
  <c r="L20" i="19"/>
  <c r="L21" i="19"/>
  <c r="L22" i="19"/>
  <c r="L23" i="19"/>
  <c r="L24" i="19"/>
  <c r="K14" i="19"/>
  <c r="K15" i="19"/>
  <c r="K16" i="19"/>
  <c r="L16" i="19" s="1"/>
  <c r="K17" i="19"/>
  <c r="L17" i="19" s="1"/>
  <c r="K18" i="19"/>
  <c r="L14" i="19"/>
  <c r="L15" i="19"/>
  <c r="L18" i="19"/>
  <c r="L19" i="19"/>
  <c r="K6" i="19"/>
  <c r="L6" i="19" s="1"/>
  <c r="K9" i="19"/>
  <c r="L9" i="19" s="1"/>
  <c r="K10" i="19"/>
  <c r="L10" i="19" s="1"/>
  <c r="K11" i="19"/>
  <c r="K12" i="19"/>
  <c r="L3" i="19"/>
  <c r="L4" i="19"/>
  <c r="L7" i="19"/>
  <c r="L8" i="19"/>
  <c r="L11" i="19"/>
  <c r="L12" i="19"/>
  <c r="L13" i="19"/>
  <c r="K3" i="19" l="1"/>
  <c r="F2" i="19"/>
  <c r="J2" i="19" s="1"/>
  <c r="G5" i="19" l="1"/>
  <c r="J5" i="19" s="1"/>
  <c r="K2" i="19"/>
  <c r="L2" i="19" s="1"/>
  <c r="K5" i="19" l="1"/>
  <c r="L5" i="19" s="1"/>
  <c r="K4" i="19"/>
  <c r="K7" i="19"/>
  <c r="K8" i="19"/>
</calcChain>
</file>

<file path=xl/sharedStrings.xml><?xml version="1.0" encoding="utf-8"?>
<sst xmlns="http://schemas.openxmlformats.org/spreadsheetml/2006/main" count="413" uniqueCount="132">
  <si>
    <t>Date</t>
  </si>
  <si>
    <t>Services</t>
  </si>
  <si>
    <t>Owner</t>
  </si>
  <si>
    <t>Blog Title</t>
  </si>
  <si>
    <t>Author</t>
  </si>
  <si>
    <t>Description</t>
  </si>
  <si>
    <t>Language</t>
  </si>
  <si>
    <t>Session Title</t>
  </si>
  <si>
    <t>Demo Title</t>
  </si>
  <si>
    <t>Script Title</t>
  </si>
  <si>
    <t>POC Title</t>
  </si>
  <si>
    <t>S. No.</t>
  </si>
  <si>
    <t>Title</t>
  </si>
  <si>
    <t>Offering Launches - Offering/Capability Launch</t>
  </si>
  <si>
    <t>Client Visits &amp; Evangelization -  Client Visits</t>
  </si>
  <si>
    <t>Solution Support - RFP/RFI</t>
  </si>
  <si>
    <t>Delivery Support</t>
  </si>
  <si>
    <t>Technology Enablement - COP sessions</t>
  </si>
  <si>
    <t>Technology Evalution &amp; Proof of Concept - POC</t>
  </si>
  <si>
    <t>Blogs &amp; Articles - Blogs</t>
  </si>
  <si>
    <t>Innovation &amp; Asset Development - Automation Scripts</t>
  </si>
  <si>
    <t>Innovation &amp; Asset Development - Technical Demos</t>
  </si>
  <si>
    <t>Innovation &amp; Asset Development - Win Story</t>
  </si>
  <si>
    <t>Sr. No.</t>
  </si>
  <si>
    <t>Type 
(Offering OR Capability)</t>
  </si>
  <si>
    <t>Status
(Completed OR WiP)</t>
  </si>
  <si>
    <t xml:space="preserve">Description </t>
  </si>
  <si>
    <t>Client Name
(In Full)</t>
  </si>
  <si>
    <t>Type
(Client Visit OR Demo OR PPT)</t>
  </si>
  <si>
    <t>Status
(Completed OR WIP)</t>
  </si>
  <si>
    <t>Criticality 
(High OR Medium OR Low)</t>
  </si>
  <si>
    <t>No. of Attendees</t>
  </si>
  <si>
    <t>LinkedIn URL</t>
  </si>
  <si>
    <t>Outcome
(Accepted OR Rejected)</t>
  </si>
  <si>
    <t>Please enter 'Not Applicable' in Column E when adding data for PoV &amp; Innovation</t>
  </si>
  <si>
    <t>Event Name</t>
  </si>
  <si>
    <t>Social Media Traction</t>
  </si>
  <si>
    <t>Leads Generated</t>
  </si>
  <si>
    <t>Name/Title</t>
  </si>
  <si>
    <t>Type
(Other Trainings/Best Practices/ CCA Academy/ Others)</t>
  </si>
  <si>
    <t>If you chose Other in Column E, mention the tyoe of activity</t>
  </si>
  <si>
    <t>Enter dates in MM/DD/YYYY format</t>
  </si>
  <si>
    <t>(Launch with formal communication (Announcement Mailers) to be mentioned in this category)</t>
  </si>
  <si>
    <t>Week</t>
  </si>
  <si>
    <t>Client Name to be mentioned</t>
  </si>
  <si>
    <t>Demo Category</t>
  </si>
  <si>
    <t>Do not enter Tasks to be done in July</t>
  </si>
  <si>
    <t>Team Task Tracker</t>
  </si>
  <si>
    <t>Azure Service/Platform</t>
  </si>
  <si>
    <t>Azure Services</t>
  </si>
  <si>
    <t>JAN-FEB</t>
  </si>
  <si>
    <t>In-house Technology Demos</t>
  </si>
  <si>
    <t xml:space="preserve">ARM template creation for IaC </t>
  </si>
  <si>
    <t>Completed</t>
  </si>
  <si>
    <t>QEA Team</t>
  </si>
  <si>
    <t>March</t>
  </si>
  <si>
    <t>To find the drift in installed policies against the base version in Drive train monitoring solution</t>
  </si>
  <si>
    <t>Develop a PS script to find the drift in installed policies agains the base version in Drive train monitoring solution.</t>
  </si>
  <si>
    <t>PowerShell</t>
  </si>
  <si>
    <t>Mukesh</t>
  </si>
  <si>
    <t>WIP</t>
  </si>
  <si>
    <t>Experience Lab - Continuous Testing in Azure (QEA)</t>
  </si>
  <si>
    <t>Jan</t>
  </si>
  <si>
    <t>Azure Arc for Servers</t>
  </si>
  <si>
    <t>Test the capabilities of Azure Arc for Servers ( non azure Vms)</t>
  </si>
  <si>
    <t>Capability</t>
  </si>
  <si>
    <t>Security</t>
  </si>
  <si>
    <t>QTY</t>
  </si>
  <si>
    <t>Price</t>
  </si>
  <si>
    <t>Available(SOD)</t>
  </si>
  <si>
    <t>Available(EOD)</t>
  </si>
  <si>
    <t>RILPPE1</t>
  </si>
  <si>
    <t>Total</t>
  </si>
  <si>
    <t>Brokerage</t>
  </si>
  <si>
    <t>Brokerage (%)</t>
  </si>
  <si>
    <t>Remarks</t>
  </si>
  <si>
    <t>Quaterly Maintenance Charge</t>
  </si>
  <si>
    <t>BUY/SELL</t>
  </si>
  <si>
    <t>BUY</t>
  </si>
  <si>
    <t>INDIANB</t>
  </si>
  <si>
    <t>Add Fund</t>
  </si>
  <si>
    <t>Withdraw Fund</t>
  </si>
  <si>
    <t>Massive fall due to Covid second wave.</t>
  </si>
  <si>
    <t xml:space="preserve">This turned out to be a good buy. It jumped 8% next day. And day after fell 12%. </t>
  </si>
  <si>
    <t>998.33,205.84</t>
  </si>
  <si>
    <t>RILPPE1 , ITC</t>
  </si>
  <si>
    <t>6 , 47</t>
  </si>
  <si>
    <t>Documentation</t>
  </si>
  <si>
    <t>Should code Repo</t>
  </si>
  <si>
    <t>RILPPE1,ITC,BHEL</t>
  </si>
  <si>
    <t>2,40,50</t>
  </si>
  <si>
    <t>966,204.24,44</t>
  </si>
  <si>
    <t>ITC, RILPPE1</t>
  </si>
  <si>
    <t>44,14,4</t>
  </si>
  <si>
    <t>203.96,203.37,973</t>
  </si>
  <si>
    <t>ITC</t>
  </si>
  <si>
    <t>NA</t>
  </si>
  <si>
    <t>CLARIANTCHEM</t>
  </si>
  <si>
    <t>HDFCLIFE</t>
  </si>
  <si>
    <t>SELL</t>
  </si>
  <si>
    <t>LT</t>
  </si>
  <si>
    <t>SPICEJET</t>
  </si>
  <si>
    <t xml:space="preserve">No real gain. Held it for 2 years. Accidental long term investor.Had bought it impulsivey by watching news. </t>
  </si>
  <si>
    <t xml:space="preserve">Sold it in loss, as I needed money. It was an impulsive buy. </t>
  </si>
  <si>
    <t>Infibeam</t>
  </si>
  <si>
    <t>PNB</t>
  </si>
  <si>
    <t>It was not a great buy. It was available at much lower level.Bought it impulsively.</t>
  </si>
  <si>
    <t>Again same mistake of buying when price rises. Need to keep patience</t>
  </si>
  <si>
    <t>Impulsive buy . Must aovid these decisions. Update 2 weeks later: price corrected. Should have waited.</t>
  </si>
  <si>
    <t>Buy on dips. Could have been slightly better.</t>
  </si>
  <si>
    <t>GRANULES</t>
  </si>
  <si>
    <t>BHEL</t>
  </si>
  <si>
    <t xml:space="preserve">Decent gains of 25%. </t>
  </si>
  <si>
    <t xml:space="preserve">Bought at higher price. But quantity purchased is less. </t>
  </si>
  <si>
    <t>SpiceJet</t>
  </si>
  <si>
    <t>Huge Loss. And held for close to 2 years. Buy price 110.5</t>
  </si>
  <si>
    <t>PNB was one of my big trading mistake. Greed to earn money quickly led me to buy it at highest value. It's been in downtrend for last 2 years.</t>
  </si>
  <si>
    <t>Trade went wrong. But will exit asap at opportune time.</t>
  </si>
  <si>
    <t>BPCL</t>
  </si>
  <si>
    <t>Bought to do average. Volume is high,so it will fly.</t>
  </si>
  <si>
    <t>GRLANULES</t>
  </si>
  <si>
    <t>HOLIDAY</t>
  </si>
  <si>
    <t>Investment in BPCL for dividend of Rs58</t>
  </si>
  <si>
    <t>RILPP</t>
  </si>
  <si>
    <t>First time, I felt I followed the trading principle. I was content with my decision. [buy price - 1508.79]</t>
  </si>
  <si>
    <t xml:space="preserve">Loss of 4384 for these 200 shares. BuyPrice:59.02 SellPrice:37.1; It was an impulsive buy to make quick gains. However, as expected, quick gains are always speculative. It is pure luck and 99.99% it results in failure. </t>
  </si>
  <si>
    <t xml:space="preserve">Loss of 4000 for these 200 shares. BuyPrice:57.5 SellPrice:37.5; It was an impulsive buy to make quick gains. However, as expected, quick gains are always speculative. It is pure luck and 99.99% it results in failure. </t>
  </si>
  <si>
    <t>Brokerage charge of 88.36</t>
  </si>
  <si>
    <t>SAIL</t>
  </si>
  <si>
    <t>Entered SAIL with an aim to be in its upward journey, but exit in its downward journey.</t>
  </si>
  <si>
    <t>ICICIPRULI</t>
  </si>
  <si>
    <t>Sold ICICIPRULIFE. I accumulated at average of 645.09 level. Since it was at a high , I had to let go of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</si>
</sst>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mm/dd/yy;@"/>
    <numFmt numFmtId="166" formatCode="[$-409]d\-mmm\-yyyy;@"/>
    <numFmt numFmtId="167" formatCode="0.00000"/>
    <numFmt numFmtId="168" formatCode="0.0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1"/>
      <color theme="1"/>
      <name val="Calibri Light"/>
      <family val="2"/>
    </font>
    <font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color rgb="FFC00000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7" fillId="6" borderId="0" applyNumberFormat="0" applyBorder="0" applyAlignment="0" applyProtection="0"/>
  </cellStyleXfs>
  <cellXfs count="1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0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165" fontId="3" fillId="0" borderId="2" xfId="0" applyNumberFormat="1" applyFont="1" applyFill="1" applyBorder="1" applyAlignment="1">
      <alignment horizontal="left" vertical="center" wrapText="1" readingOrder="2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165" fontId="3" fillId="0" borderId="1" xfId="0" applyNumberFormat="1" applyFont="1" applyFill="1" applyBorder="1" applyAlignment="1">
      <alignment horizontal="left" vertical="center" wrapText="1" readingOrder="2"/>
    </xf>
    <xf numFmtId="0" fontId="2" fillId="0" borderId="1" xfId="0" applyFont="1" applyFill="1" applyBorder="1" applyAlignment="1">
      <alignment horizontal="left" vertical="center"/>
    </xf>
    <xf numFmtId="0" fontId="0" fillId="0" borderId="0" xfId="0" applyBorder="1"/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0" fillId="0" borderId="0" xfId="0" applyFill="1" applyBorder="1"/>
    <xf numFmtId="0" fontId="9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wrapText="1"/>
    </xf>
    <xf numFmtId="0" fontId="7" fillId="0" borderId="0" xfId="0" applyFont="1" applyFill="1" applyBorder="1" applyAlignment="1">
      <alignment horizontal="left" vertical="center" wrapText="1"/>
    </xf>
    <xf numFmtId="15" fontId="6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15" fontId="6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15" fontId="9" fillId="0" borderId="0" xfId="0" applyNumberFormat="1" applyFont="1" applyFill="1" applyBorder="1" applyAlignment="1">
      <alignment horizontal="left" vertical="center" wrapText="1"/>
    </xf>
    <xf numFmtId="166" fontId="9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" fontId="3" fillId="0" borderId="0" xfId="0" applyNumberFormat="1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left" vertical="center" wrapText="1" readingOrder="2"/>
    </xf>
    <xf numFmtId="0" fontId="6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3" fillId="0" borderId="1" xfId="0" applyNumberFormat="1" applyFont="1" applyFill="1" applyBorder="1" applyAlignment="1">
      <alignment horizontal="left" vertical="center" wrapText="1" readingOrder="2"/>
    </xf>
    <xf numFmtId="0" fontId="12" fillId="0" borderId="0" xfId="0" applyFont="1" applyFill="1"/>
    <xf numFmtId="0" fontId="12" fillId="0" borderId="0" xfId="0" applyFont="1"/>
    <xf numFmtId="165" fontId="3" fillId="0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65" fontId="3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4" fontId="3" fillId="0" borderId="2" xfId="0" applyNumberFormat="1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left"/>
    </xf>
    <xf numFmtId="0" fontId="0" fillId="0" borderId="0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65" fontId="3" fillId="0" borderId="0" xfId="0" applyNumberFormat="1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5" borderId="0" xfId="0" applyFill="1" applyAlignment="1">
      <alignment vertical="center"/>
    </xf>
    <xf numFmtId="165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 readingOrder="2"/>
    </xf>
    <xf numFmtId="0" fontId="3" fillId="0" borderId="2" xfId="0" applyFont="1" applyFill="1" applyBorder="1" applyAlignment="1">
      <alignment horizontal="left" vertical="center" wrapText="1" readingOrder="2"/>
    </xf>
    <xf numFmtId="165" fontId="2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166" fontId="3" fillId="0" borderId="1" xfId="0" applyNumberFormat="1" applyFont="1" applyFill="1" applyBorder="1" applyAlignment="1">
      <alignment horizontal="left" vertical="center" wrapText="1"/>
    </xf>
    <xf numFmtId="15" fontId="3" fillId="0" borderId="2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14" fontId="2" fillId="0" borderId="2" xfId="0" applyNumberFormat="1" applyFont="1" applyFill="1" applyBorder="1" applyAlignment="1">
      <alignment horizontal="left" vertical="center"/>
    </xf>
    <xf numFmtId="0" fontId="16" fillId="0" borderId="0" xfId="0" applyFont="1" applyFill="1"/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8" fontId="0" fillId="0" borderId="0" xfId="0" applyNumberFormat="1"/>
    <xf numFmtId="164" fontId="17" fillId="6" borderId="0" xfId="2" applyNumberFormat="1" applyAlignment="1">
      <alignment horizontal="left"/>
    </xf>
    <xf numFmtId="0" fontId="17" fillId="6" borderId="0" xfId="2"/>
    <xf numFmtId="0" fontId="17" fillId="6" borderId="0" xfId="2" applyAlignment="1">
      <alignment horizontal="right"/>
    </xf>
    <xf numFmtId="2" fontId="17" fillId="6" borderId="0" xfId="2" applyNumberFormat="1" applyAlignment="1">
      <alignment horizontal="right"/>
    </xf>
    <xf numFmtId="167" fontId="0" fillId="0" borderId="0" xfId="0" applyNumberFormat="1" applyAlignment="1">
      <alignment horizontal="right"/>
    </xf>
    <xf numFmtId="17" fontId="0" fillId="0" borderId="0" xfId="0" applyNumberFormat="1"/>
    <xf numFmtId="1" fontId="3" fillId="0" borderId="1" xfId="0" applyNumberFormat="1" applyFont="1" applyFill="1" applyBorder="1" applyAlignment="1">
      <alignment horizontal="left" vertical="center"/>
    </xf>
    <xf numFmtId="0" fontId="3" fillId="0" borderId="2" xfId="0" applyNumberFormat="1" applyFont="1" applyFill="1" applyBorder="1" applyAlignment="1">
      <alignment horizontal="right" vertical="center" wrapText="1"/>
    </xf>
    <xf numFmtId="2" fontId="0" fillId="0" borderId="0" xfId="0" applyNumberFormat="1"/>
    <xf numFmtId="0" fontId="0" fillId="0" borderId="0" xfId="0" applyAlignment="1">
      <alignment horizontal="right" wrapText="1"/>
    </xf>
    <xf numFmtId="2" fontId="0" fillId="0" borderId="0" xfId="0" applyNumberFormat="1" applyAlignment="1">
      <alignment horizontal="right" wrapText="1"/>
    </xf>
    <xf numFmtId="164" fontId="0" fillId="7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3" borderId="1" xfId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</cellXfs>
  <cellStyles count="3">
    <cellStyle name="Accent2" xfId="2" builtinId="33"/>
    <cellStyle name="Hyperlink" xfId="1" builtinId="8"/>
    <cellStyle name="Normal" xfId="0" builtinId="0"/>
  </cellStyles>
  <dxfs count="82"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[$-F800]dddd\,\ mmmm\ dd\,\ 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[$-F800]dddd\,\ mmmm\ dd\,\ 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[$-F800]dddd\,\ mmmm\ dd\,\ 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[$-F800]dddd\,\ mmmm\ dd\,\ 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[$-F800]dddd\,\ mmmm\ dd\,\ 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[$-F800]dddd\,\ mmmm\ dd\,\ 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[$-F800]dddd\,\ mmmm\ dd\,\ 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</xdr:row>
      <xdr:rowOff>57858</xdr:rowOff>
    </xdr:from>
    <xdr:to>
      <xdr:col>5</xdr:col>
      <xdr:colOff>190499</xdr:colOff>
      <xdr:row>10</xdr:row>
      <xdr:rowOff>88471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75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16146" y1="42318" x2="18229" y2="40365"/>
                      <a14:foregroundMark x1="28841" y1="45964" x2="30273" y2="44271"/>
                      <a14:foregroundMark x1="43294" y1="46615" x2="44141" y2="50130"/>
                      <a14:foregroundMark x1="51953" y1="46224" x2="52083" y2="48177"/>
                      <a14:foregroundMark x1="51953" y1="40104" x2="51953" y2="40104"/>
                      <a14:foregroundMark x1="57161" y1="44661" x2="58919" y2="43620"/>
                      <a14:foregroundMark x1="63997" y1="45573" x2="65299" y2="44922"/>
                      <a14:foregroundMark x1="71810" y1="46875" x2="73568" y2="44661"/>
                      <a14:foregroundMark x1="80078" y1="42057" x2="80078" y2="48568"/>
                      <a14:backgroundMark x1="20508" y1="49870" x2="23763" y2="47526"/>
                      <a14:backgroundMark x1="64128" y1="51823" x2="65104" y2="50521"/>
                      <a14:backgroundMark x1="72786" y1="51172" x2="73438" y2="55990"/>
                      <a14:backgroundMark x1="58919" y1="51823" x2="60091" y2="51172"/>
                      <a14:backgroundMark x1="38737" y1="51172" x2="37435" y2="51172"/>
                      <a14:backgroundMark x1="38411" y1="61198" x2="37630" y2="60286"/>
                      <a14:backgroundMark x1="30469" y1="51172" x2="28841" y2="51172"/>
                      <a14:backgroundMark x1="33398" y1="46615" x2="33398" y2="49479"/>
                      <a14:backgroundMark x1="77669" y1="50130" x2="77995" y2="54036"/>
                      <a14:backgroundMark x1="69531" y1="42708" x2="69336" y2="57682"/>
                      <a14:backgroundMark x1="46549" y1="50781" x2="46419" y2="57292"/>
                      <a14:backgroundMark x1="54232" y1="49219" x2="55534" y2="48828"/>
                      <a14:backgroundMark x1="42513" y1="41667" x2="42513" y2="59245"/>
                    </a14:backgroundRemoval>
                  </a14:imgEffect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978608"/>
          <a:ext cx="2000249" cy="951363"/>
        </a:xfrm>
        <a:prstGeom prst="rect">
          <a:avLst/>
        </a:prstGeom>
      </xdr:spPr>
    </xdr:pic>
    <xdr:clientData/>
  </xdr:twoCellAnchor>
  <xdr:twoCellAnchor>
    <xdr:from>
      <xdr:col>13</xdr:col>
      <xdr:colOff>85725</xdr:colOff>
      <xdr:row>16</xdr:row>
      <xdr:rowOff>95250</xdr:rowOff>
    </xdr:from>
    <xdr:to>
      <xdr:col>16</xdr:col>
      <xdr:colOff>733425</xdr:colOff>
      <xdr:row>17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8191500" y="3524250"/>
          <a:ext cx="27146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i="1"/>
            <a:t>Click</a:t>
          </a:r>
          <a:r>
            <a:rPr lang="en-US" sz="1050" i="1" baseline="0"/>
            <a:t> to navigate through the various sheets</a:t>
          </a:r>
          <a:endParaRPr lang="en-US" sz="1050" i="1"/>
        </a:p>
      </xdr:txBody>
    </xdr:sp>
    <xdr:clientData/>
  </xdr:twoCellAnchor>
  <xdr:twoCellAnchor>
    <xdr:from>
      <xdr:col>2</xdr:col>
      <xdr:colOff>0</xdr:colOff>
      <xdr:row>8</xdr:row>
      <xdr:rowOff>171451</xdr:rowOff>
    </xdr:from>
    <xdr:to>
      <xdr:col>9</xdr:col>
      <xdr:colOff>250827</xdr:colOff>
      <xdr:row>12</xdr:row>
      <xdr:rowOff>82551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0" y="2012951"/>
          <a:ext cx="4498977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 b="1" i="0">
              <a:solidFill>
                <a:schemeClr val="bg1"/>
              </a:solidFill>
              <a:latin typeface="Arial Black" panose="020B0A04020102020204" pitchFamily="34" charset="0"/>
            </a:rPr>
            <a:t>Azure Practice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0</xdr:row>
      <xdr:rowOff>76200</xdr:rowOff>
    </xdr:from>
    <xdr:to>
      <xdr:col>3</xdr:col>
      <xdr:colOff>1628775</xdr:colOff>
      <xdr:row>1</xdr:row>
      <xdr:rowOff>123825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2038350" y="76200"/>
          <a:ext cx="1266825" cy="238125"/>
        </a:xfrm>
        <a:prstGeom prst="rect">
          <a:avLst/>
        </a:prstGeom>
        <a:solidFill>
          <a:srgbClr val="0000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Back to the Index</a:t>
          </a:r>
          <a:endParaRPr lang="en-US">
            <a:effectLst/>
          </a:endParaRPr>
        </a:p>
      </xdr:txBody>
    </xdr:sp>
    <xdr:clientData/>
  </xdr:twoCellAnchor>
  <xdr:twoCellAnchor>
    <xdr:from>
      <xdr:col>0</xdr:col>
      <xdr:colOff>552449</xdr:colOff>
      <xdr:row>15</xdr:row>
      <xdr:rowOff>0</xdr:rowOff>
    </xdr:from>
    <xdr:to>
      <xdr:col>5</xdr:col>
      <xdr:colOff>533399</xdr:colOff>
      <xdr:row>18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552449" y="2971800"/>
          <a:ext cx="4886325" cy="609600"/>
        </a:xfrm>
        <a:prstGeom prst="rect">
          <a:avLst/>
        </a:prstGeom>
        <a:noFill/>
        <a:ln w="1905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809625</xdr:colOff>
      <xdr:row>0</xdr:row>
      <xdr:rowOff>85725</xdr:rowOff>
    </xdr:from>
    <xdr:to>
      <xdr:col>3</xdr:col>
      <xdr:colOff>2076450</xdr:colOff>
      <xdr:row>1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2495550" y="85725"/>
          <a:ext cx="1266825" cy="238125"/>
        </a:xfrm>
        <a:prstGeom prst="rect">
          <a:avLst/>
        </a:prstGeom>
        <a:solidFill>
          <a:srgbClr val="0000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Back to the Index</a:t>
          </a:r>
          <a:endParaRPr lang="en-US">
            <a:effectLst/>
          </a:endParaRPr>
        </a:p>
      </xdr:txBody>
    </xdr:sp>
    <xdr:clientData/>
  </xdr:twoCellAnchor>
  <xdr:twoCellAnchor>
    <xdr:from>
      <xdr:col>0</xdr:col>
      <xdr:colOff>342900</xdr:colOff>
      <xdr:row>14</xdr:row>
      <xdr:rowOff>171450</xdr:rowOff>
    </xdr:from>
    <xdr:to>
      <xdr:col>3</xdr:col>
      <xdr:colOff>1038225</xdr:colOff>
      <xdr:row>17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342900" y="2781300"/>
          <a:ext cx="2381250" cy="438150"/>
        </a:xfrm>
        <a:prstGeom prst="rect">
          <a:avLst/>
        </a:prstGeom>
        <a:noFill/>
        <a:ln w="1905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85725</xdr:rowOff>
    </xdr:from>
    <xdr:to>
      <xdr:col>3</xdr:col>
      <xdr:colOff>1533525</xdr:colOff>
      <xdr:row>1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819275" y="85725"/>
          <a:ext cx="1266825" cy="238125"/>
        </a:xfrm>
        <a:prstGeom prst="rect">
          <a:avLst/>
        </a:prstGeom>
        <a:solidFill>
          <a:srgbClr val="0000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Back to the Index</a:t>
          </a:r>
          <a:endParaRPr lang="en-US">
            <a:effectLst/>
          </a:endParaRPr>
        </a:p>
      </xdr:txBody>
    </xdr:sp>
    <xdr:clientData/>
  </xdr:twoCellAnchor>
  <xdr:twoCellAnchor>
    <xdr:from>
      <xdr:col>0</xdr:col>
      <xdr:colOff>342900</xdr:colOff>
      <xdr:row>13</xdr:row>
      <xdr:rowOff>180975</xdr:rowOff>
    </xdr:from>
    <xdr:to>
      <xdr:col>3</xdr:col>
      <xdr:colOff>1171575</xdr:colOff>
      <xdr:row>16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342900" y="2809875"/>
          <a:ext cx="2381250" cy="438150"/>
        </a:xfrm>
        <a:prstGeom prst="rect">
          <a:avLst/>
        </a:prstGeom>
        <a:noFill/>
        <a:ln w="1905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76200</xdr:rowOff>
    </xdr:from>
    <xdr:to>
      <xdr:col>3</xdr:col>
      <xdr:colOff>1552575</xdr:colOff>
      <xdr:row>1</xdr:row>
      <xdr:rowOff>123825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2105025" y="76200"/>
          <a:ext cx="1266825" cy="238125"/>
        </a:xfrm>
        <a:prstGeom prst="rect">
          <a:avLst/>
        </a:prstGeom>
        <a:solidFill>
          <a:srgbClr val="0000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Back to the Index</a:t>
          </a:r>
          <a:endParaRPr lang="en-US">
            <a:effectLst/>
          </a:endParaRPr>
        </a:p>
      </xdr:txBody>
    </xdr:sp>
    <xdr:clientData/>
  </xdr:twoCellAnchor>
  <xdr:twoCellAnchor>
    <xdr:from>
      <xdr:col>10</xdr:col>
      <xdr:colOff>0</xdr:colOff>
      <xdr:row>3</xdr:row>
      <xdr:rowOff>142875</xdr:rowOff>
    </xdr:from>
    <xdr:to>
      <xdr:col>11</xdr:col>
      <xdr:colOff>57150</xdr:colOff>
      <xdr:row>6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/>
      </xdr:nvSpPr>
      <xdr:spPr>
        <a:xfrm>
          <a:off x="10296525" y="1171575"/>
          <a:ext cx="2276475" cy="847725"/>
        </a:xfrm>
        <a:prstGeom prst="rect">
          <a:avLst/>
        </a:prstGeom>
        <a:noFill/>
        <a:ln w="1905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600076</xdr:colOff>
      <xdr:row>2</xdr:row>
      <xdr:rowOff>781050</xdr:rowOff>
    </xdr:from>
    <xdr:to>
      <xdr:col>13</xdr:col>
      <xdr:colOff>285750</xdr:colOff>
      <xdr:row>4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 flipV="1">
          <a:off x="10391776" y="1162050"/>
          <a:ext cx="2124074" cy="266700"/>
        </a:xfrm>
        <a:prstGeom prst="rect">
          <a:avLst/>
        </a:prstGeom>
        <a:noFill/>
        <a:ln w="1905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542925</xdr:colOff>
      <xdr:row>0</xdr:row>
      <xdr:rowOff>76200</xdr:rowOff>
    </xdr:from>
    <xdr:to>
      <xdr:col>3</xdr:col>
      <xdr:colOff>1809750</xdr:colOff>
      <xdr:row>1</xdr:row>
      <xdr:rowOff>123825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/>
      </xdr:nvSpPr>
      <xdr:spPr>
        <a:xfrm>
          <a:off x="2333625" y="76200"/>
          <a:ext cx="1266825" cy="238125"/>
        </a:xfrm>
        <a:prstGeom prst="rect">
          <a:avLst/>
        </a:prstGeom>
        <a:solidFill>
          <a:srgbClr val="0000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Back to the Index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847725</xdr:colOff>
      <xdr:row>0</xdr:row>
      <xdr:rowOff>76200</xdr:rowOff>
    </xdr:from>
    <xdr:to>
      <xdr:col>3</xdr:col>
      <xdr:colOff>2114550</xdr:colOff>
      <xdr:row>1</xdr:row>
      <xdr:rowOff>123825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743200" y="76200"/>
          <a:ext cx="1266825" cy="238125"/>
        </a:xfrm>
        <a:prstGeom prst="rect">
          <a:avLst/>
        </a:prstGeom>
        <a:solidFill>
          <a:srgbClr val="0000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Back to the Index</a:t>
          </a:r>
          <a:endParaRPr lang="en-US">
            <a:effectLst/>
          </a:endParaRPr>
        </a:p>
      </xdr:txBody>
    </xdr:sp>
    <xdr:clientData/>
  </xdr:twoCellAnchor>
  <xdr:twoCellAnchor>
    <xdr:from>
      <xdr:col>0</xdr:col>
      <xdr:colOff>590550</xdr:colOff>
      <xdr:row>14</xdr:row>
      <xdr:rowOff>0</xdr:rowOff>
    </xdr:from>
    <xdr:to>
      <xdr:col>4</xdr:col>
      <xdr:colOff>1485900</xdr:colOff>
      <xdr:row>17</xdr:row>
      <xdr:rowOff>9525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590550" y="3038475"/>
          <a:ext cx="5600700" cy="581025"/>
        </a:xfrm>
        <a:prstGeom prst="rect">
          <a:avLst/>
        </a:prstGeom>
        <a:noFill/>
        <a:ln w="1905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76200</xdr:rowOff>
    </xdr:from>
    <xdr:to>
      <xdr:col>3</xdr:col>
      <xdr:colOff>1409700</xdr:colOff>
      <xdr:row>1</xdr:row>
      <xdr:rowOff>123825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2247900" y="76200"/>
          <a:ext cx="1266825" cy="238125"/>
        </a:xfrm>
        <a:prstGeom prst="rect">
          <a:avLst/>
        </a:prstGeom>
        <a:solidFill>
          <a:srgbClr val="0000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Back to the Index</a:t>
          </a:r>
          <a:endParaRPr lang="en-US">
            <a:effectLst/>
          </a:endParaRPr>
        </a:p>
      </xdr:txBody>
    </xdr:sp>
    <xdr:clientData/>
  </xdr:twoCellAnchor>
  <xdr:twoCellAnchor>
    <xdr:from>
      <xdr:col>0</xdr:col>
      <xdr:colOff>571500</xdr:colOff>
      <xdr:row>14</xdr:row>
      <xdr:rowOff>171451</xdr:rowOff>
    </xdr:from>
    <xdr:to>
      <xdr:col>3</xdr:col>
      <xdr:colOff>847725</xdr:colOff>
      <xdr:row>17</xdr:row>
      <xdr:rowOff>38101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571500" y="2943226"/>
          <a:ext cx="2381250" cy="438150"/>
        </a:xfrm>
        <a:prstGeom prst="rect">
          <a:avLst/>
        </a:prstGeom>
        <a:noFill/>
        <a:ln w="1905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85725</xdr:rowOff>
    </xdr:from>
    <xdr:to>
      <xdr:col>3</xdr:col>
      <xdr:colOff>1609725</xdr:colOff>
      <xdr:row>1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2238375" y="85725"/>
          <a:ext cx="1266825" cy="238125"/>
        </a:xfrm>
        <a:prstGeom prst="rect">
          <a:avLst/>
        </a:prstGeom>
        <a:solidFill>
          <a:srgbClr val="0000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Back to the Index</a:t>
          </a:r>
          <a:endParaRPr lang="en-US">
            <a:effectLst/>
          </a:endParaRPr>
        </a:p>
      </xdr:txBody>
    </xdr:sp>
    <xdr:clientData/>
  </xdr:twoCellAnchor>
  <xdr:twoCellAnchor>
    <xdr:from>
      <xdr:col>0</xdr:col>
      <xdr:colOff>571499</xdr:colOff>
      <xdr:row>14</xdr:row>
      <xdr:rowOff>171451</xdr:rowOff>
    </xdr:from>
    <xdr:to>
      <xdr:col>3</xdr:col>
      <xdr:colOff>990599</xdr:colOff>
      <xdr:row>17</xdr:row>
      <xdr:rowOff>38101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571499" y="3000376"/>
          <a:ext cx="2314575" cy="438150"/>
        </a:xfrm>
        <a:prstGeom prst="rect">
          <a:avLst/>
        </a:prstGeom>
        <a:noFill/>
        <a:ln w="1905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0</xdr:row>
      <xdr:rowOff>76200</xdr:rowOff>
    </xdr:from>
    <xdr:to>
      <xdr:col>3</xdr:col>
      <xdr:colOff>1628775</xdr:colOff>
      <xdr:row>1</xdr:row>
      <xdr:rowOff>123825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2314575" y="76200"/>
          <a:ext cx="1266825" cy="238125"/>
        </a:xfrm>
        <a:prstGeom prst="rect">
          <a:avLst/>
        </a:prstGeom>
        <a:solidFill>
          <a:srgbClr val="0000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Back to the Index</a:t>
          </a:r>
          <a:endParaRPr lang="en-US">
            <a:effectLst/>
          </a:endParaRPr>
        </a:p>
      </xdr:txBody>
    </xdr:sp>
    <xdr:clientData/>
  </xdr:twoCellAnchor>
  <xdr:twoCellAnchor>
    <xdr:from>
      <xdr:col>0</xdr:col>
      <xdr:colOff>571499</xdr:colOff>
      <xdr:row>14</xdr:row>
      <xdr:rowOff>171451</xdr:rowOff>
    </xdr:from>
    <xdr:to>
      <xdr:col>3</xdr:col>
      <xdr:colOff>914399</xdr:colOff>
      <xdr:row>18</xdr:row>
      <xdr:rowOff>76200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571499" y="3133726"/>
          <a:ext cx="2295525" cy="666749"/>
        </a:xfrm>
        <a:prstGeom prst="rect">
          <a:avLst/>
        </a:prstGeom>
        <a:noFill/>
        <a:ln w="1905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1085850</xdr:colOff>
      <xdr:row>0</xdr:row>
      <xdr:rowOff>85725</xdr:rowOff>
    </xdr:from>
    <xdr:to>
      <xdr:col>3</xdr:col>
      <xdr:colOff>2352675</xdr:colOff>
      <xdr:row>1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2952750" y="85725"/>
          <a:ext cx="1266825" cy="238125"/>
        </a:xfrm>
        <a:prstGeom prst="rect">
          <a:avLst/>
        </a:prstGeom>
        <a:solidFill>
          <a:srgbClr val="0000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Back to the Index</a:t>
          </a:r>
          <a:endParaRPr lang="en-US">
            <a:effectLst/>
          </a:endParaRPr>
        </a:p>
      </xdr:txBody>
    </xdr:sp>
    <xdr:clientData/>
  </xdr:twoCellAnchor>
  <xdr:twoCellAnchor>
    <xdr:from>
      <xdr:col>10</xdr:col>
      <xdr:colOff>19050</xdr:colOff>
      <xdr:row>4</xdr:row>
      <xdr:rowOff>0</xdr:rowOff>
    </xdr:from>
    <xdr:to>
      <xdr:col>10</xdr:col>
      <xdr:colOff>1552575</xdr:colOff>
      <xdr:row>5</xdr:row>
      <xdr:rowOff>457200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10877550" y="704850"/>
          <a:ext cx="1533525" cy="942975"/>
        </a:xfrm>
        <a:prstGeom prst="rect">
          <a:avLst/>
        </a:prstGeom>
        <a:noFill/>
        <a:ln w="1905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0</xdr:row>
      <xdr:rowOff>76200</xdr:rowOff>
    </xdr:from>
    <xdr:to>
      <xdr:col>3</xdr:col>
      <xdr:colOff>1809750</xdr:colOff>
      <xdr:row>1</xdr:row>
      <xdr:rowOff>123825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2476500" y="76200"/>
          <a:ext cx="1266825" cy="238125"/>
        </a:xfrm>
        <a:prstGeom prst="rect">
          <a:avLst/>
        </a:prstGeom>
        <a:solidFill>
          <a:srgbClr val="0000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Back to the Index</a:t>
          </a:r>
          <a:endParaRPr lang="en-US">
            <a:effectLst/>
          </a:endParaRPr>
        </a:p>
      </xdr:txBody>
    </xdr:sp>
    <xdr:clientData/>
  </xdr:twoCellAnchor>
  <xdr:twoCellAnchor>
    <xdr:from>
      <xdr:col>10</xdr:col>
      <xdr:colOff>19050</xdr:colOff>
      <xdr:row>5</xdr:row>
      <xdr:rowOff>0</xdr:rowOff>
    </xdr:from>
    <xdr:to>
      <xdr:col>10</xdr:col>
      <xdr:colOff>1552575</xdr:colOff>
      <xdr:row>6</xdr:row>
      <xdr:rowOff>457200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10877550" y="704850"/>
          <a:ext cx="1533525" cy="942975"/>
        </a:xfrm>
        <a:prstGeom prst="rect">
          <a:avLst/>
        </a:prstGeom>
        <a:noFill/>
        <a:ln w="1905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0</xdr:row>
      <xdr:rowOff>85725</xdr:rowOff>
    </xdr:from>
    <xdr:to>
      <xdr:col>3</xdr:col>
      <xdr:colOff>1628775</xdr:colOff>
      <xdr:row>1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2171700" y="85725"/>
          <a:ext cx="1266825" cy="238125"/>
        </a:xfrm>
        <a:prstGeom prst="rect">
          <a:avLst/>
        </a:prstGeom>
        <a:solidFill>
          <a:srgbClr val="0000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Back to the Index</a:t>
          </a:r>
          <a:endParaRPr lang="en-US">
            <a:effectLst/>
          </a:endParaRPr>
        </a:p>
      </xdr:txBody>
    </xdr:sp>
    <xdr:clientData/>
  </xdr:twoCellAnchor>
  <xdr:twoCellAnchor>
    <xdr:from>
      <xdr:col>10</xdr:col>
      <xdr:colOff>19050</xdr:colOff>
      <xdr:row>4</xdr:row>
      <xdr:rowOff>0</xdr:rowOff>
    </xdr:from>
    <xdr:to>
      <xdr:col>10</xdr:col>
      <xdr:colOff>1552575</xdr:colOff>
      <xdr:row>5</xdr:row>
      <xdr:rowOff>457200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0877550" y="704850"/>
          <a:ext cx="1533525" cy="942975"/>
        </a:xfrm>
        <a:prstGeom prst="rect">
          <a:avLst/>
        </a:prstGeom>
        <a:noFill/>
        <a:ln w="1905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0</xdr:row>
      <xdr:rowOff>85725</xdr:rowOff>
    </xdr:from>
    <xdr:to>
      <xdr:col>3</xdr:col>
      <xdr:colOff>1933575</xdr:colOff>
      <xdr:row>1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2495550" y="85725"/>
          <a:ext cx="1266825" cy="238125"/>
        </a:xfrm>
        <a:prstGeom prst="rect">
          <a:avLst/>
        </a:prstGeom>
        <a:solidFill>
          <a:srgbClr val="0000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Back to the Index</a:t>
          </a:r>
          <a:endParaRPr lang="en-US">
            <a:effectLst/>
          </a:endParaRPr>
        </a:p>
      </xdr:txBody>
    </xdr:sp>
    <xdr:clientData/>
  </xdr:twoCellAnchor>
  <xdr:twoCellAnchor>
    <xdr:from>
      <xdr:col>0</xdr:col>
      <xdr:colOff>495300</xdr:colOff>
      <xdr:row>14</xdr:row>
      <xdr:rowOff>152400</xdr:rowOff>
    </xdr:from>
    <xdr:to>
      <xdr:col>3</xdr:col>
      <xdr:colOff>1047750</xdr:colOff>
      <xdr:row>17</xdr:row>
      <xdr:rowOff>19050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>
        <a:xfrm>
          <a:off x="495300" y="3228975"/>
          <a:ext cx="2381250" cy="438150"/>
        </a:xfrm>
        <a:prstGeom prst="rect">
          <a:avLst/>
        </a:prstGeom>
        <a:noFill/>
        <a:ln w="1905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N27" totalsRowShown="0">
  <autoFilter ref="A1:N27" xr:uid="{00000000-0009-0000-0100-000002000000}"/>
  <tableColumns count="14">
    <tableColumn id="1" xr3:uid="{00000000-0010-0000-0000-000001000000}" name="Date" dataDxfId="77"/>
    <tableColumn id="12" xr3:uid="{00000000-0010-0000-0000-00000C000000}" name="BUY/SELL" dataDxfId="76"/>
    <tableColumn id="2" xr3:uid="{00000000-0010-0000-0000-000002000000}" name="Security"/>
    <tableColumn id="3" xr3:uid="{00000000-0010-0000-0000-000003000000}" name="QTY"/>
    <tableColumn id="4" xr3:uid="{00000000-0010-0000-0000-000004000000}" name="Price"/>
    <tableColumn id="5" xr3:uid="{00000000-0010-0000-0000-000005000000}" name="Total"/>
    <tableColumn id="6" xr3:uid="{00000000-0010-0000-0000-000006000000}" name="Available(SOD)"/>
    <tableColumn id="13" xr3:uid="{00000000-0010-0000-0000-00000D000000}" name="Add Fund"/>
    <tableColumn id="14" xr3:uid="{00000000-0010-0000-0000-00000E000000}" name="Withdraw Fund"/>
    <tableColumn id="7" xr3:uid="{00000000-0010-0000-0000-000007000000}" name="Available(EOD)"/>
    <tableColumn id="8" xr3:uid="{00000000-0010-0000-0000-000008000000}" name="Brokerage" dataDxfId="75">
      <calculatedColumnFormula>IF(AND(Table2[[#This Row],[Total]] = 0,(Table2[[#This Row],[Available(EOD)]] - G3) &lt;= 0),"NA",G3-Table2[[#This Row],[Available(EOD)]])</calculatedColumnFormula>
    </tableColumn>
    <tableColumn id="9" xr3:uid="{00000000-0010-0000-0000-000009000000}" name="Brokerage (%)" dataDxfId="74">
      <calculatedColumnFormula>IF(Table2[[#This Row],[Total]] = 0, "NA",(Table2[[#This Row],[Brokerage]]/Table2[[#This Row],[Total]])*100)</calculatedColumnFormula>
    </tableColumn>
    <tableColumn id="10" xr3:uid="{00000000-0010-0000-0000-00000A000000}" name="Remarks"/>
    <tableColumn id="11" xr3:uid="{00000000-0010-0000-0000-00000B000000}" name="Quaterly Maintenance Charge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2" displayName="Table22" ref="A1:N32" totalsRowShown="0">
  <autoFilter ref="A1:N32" xr:uid="{00000000-0009-0000-0100-000001000000}"/>
  <tableColumns count="14">
    <tableColumn id="1" xr3:uid="{00000000-0010-0000-0100-000001000000}" name="Date" dataDxfId="68"/>
    <tableColumn id="12" xr3:uid="{00000000-0010-0000-0100-00000C000000}" name="BUY/SELL" dataDxfId="67"/>
    <tableColumn id="2" xr3:uid="{00000000-0010-0000-0100-000002000000}" name="Security"/>
    <tableColumn id="3" xr3:uid="{00000000-0010-0000-0100-000003000000}" name="QTY"/>
    <tableColumn id="4" xr3:uid="{00000000-0010-0000-0100-000004000000}" name="Price"/>
    <tableColumn id="5" xr3:uid="{00000000-0010-0000-0100-000005000000}" name="Total"/>
    <tableColumn id="6" xr3:uid="{00000000-0010-0000-0100-000006000000}" name="Available(SOD)"/>
    <tableColumn id="13" xr3:uid="{00000000-0010-0000-0100-00000D000000}" name="Add Fund"/>
    <tableColumn id="14" xr3:uid="{00000000-0010-0000-0100-00000E000000}" name="Withdraw Fund"/>
    <tableColumn id="7" xr3:uid="{00000000-0010-0000-0100-000007000000}" name="Available(EOD)"/>
    <tableColumn id="8" xr3:uid="{00000000-0010-0000-0100-000008000000}" name="Brokerage" dataDxfId="66">
      <calculatedColumnFormula>IF(AND(Table22[[#This Row],[Total]] = 0,(Table22[[#This Row],[Available(EOD)]] - G3) &lt;= 0),"NA",G3-Table22[[#This Row],[Available(EOD)]])</calculatedColumnFormula>
    </tableColumn>
    <tableColumn id="9" xr3:uid="{00000000-0010-0000-0100-000009000000}" name="Brokerage (%)" dataDxfId="65">
      <calculatedColumnFormula>IF(Table22[[#This Row],[Total]] = 0, "NA",(Table22[[#This Row],[Brokerage]]/Table22[[#This Row],[Total]])*100)</calculatedColumnFormula>
    </tableColumn>
    <tableColumn id="10" xr3:uid="{00000000-0010-0000-0100-00000A000000}" name="Remarks"/>
    <tableColumn id="11" xr3:uid="{00000000-0010-0000-0100-00000B000000}" name="Quaterly Maintenance Charge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24" displayName="Table224" ref="A1:N32" totalsRowShown="0">
  <autoFilter ref="A1:N32" xr:uid="{00000000-0009-0000-0100-000003000000}"/>
  <tableColumns count="14">
    <tableColumn id="1" xr3:uid="{00000000-0010-0000-0200-000001000000}" name="Date" dataDxfId="55"/>
    <tableColumn id="12" xr3:uid="{00000000-0010-0000-0200-00000C000000}" name="BUY/SELL" dataDxfId="54"/>
    <tableColumn id="2" xr3:uid="{00000000-0010-0000-0200-000002000000}" name="Security"/>
    <tableColumn id="3" xr3:uid="{00000000-0010-0000-0200-000003000000}" name="QTY"/>
    <tableColumn id="4" xr3:uid="{00000000-0010-0000-0200-000004000000}" name="Price"/>
    <tableColumn id="5" xr3:uid="{00000000-0010-0000-0200-000005000000}" name="Total"/>
    <tableColumn id="6" xr3:uid="{00000000-0010-0000-0200-000006000000}" name="Available(SOD)"/>
    <tableColumn id="13" xr3:uid="{00000000-0010-0000-0200-00000D000000}" name="Add Fund"/>
    <tableColumn id="14" xr3:uid="{00000000-0010-0000-0200-00000E000000}" name="Withdraw Fund"/>
    <tableColumn id="7" xr3:uid="{00000000-0010-0000-0200-000007000000}" name="Available(EOD)"/>
    <tableColumn id="8" xr3:uid="{00000000-0010-0000-0200-000008000000}" name="Brokerage" dataDxfId="53">
      <calculatedColumnFormula>IF(AND(Table224[[#This Row],[Total]] = 0,(Table224[[#This Row],[Available(EOD)]] - G3) &lt;= 0),"NA",G3-Table224[[#This Row],[Available(EOD)]])</calculatedColumnFormula>
    </tableColumn>
    <tableColumn id="9" xr3:uid="{00000000-0010-0000-0200-000009000000}" name="Brokerage (%)" dataDxfId="52">
      <calculatedColumnFormula>IF(Table224[[#This Row],[Total]] = 0, "NA",(Table224[[#This Row],[Brokerage]]/Table224[[#This Row],[Total]])*100)</calculatedColumnFormula>
    </tableColumn>
    <tableColumn id="10" xr3:uid="{00000000-0010-0000-0200-00000A000000}" name="Remarks"/>
    <tableColumn id="11" xr3:uid="{00000000-0010-0000-0200-00000B000000}" name="Quaterly Maintenance Charge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245" displayName="Table2245" ref="A1:N34" totalsRowShown="0">
  <autoFilter ref="A1:N34" xr:uid="{00000000-0009-0000-0100-000004000000}"/>
  <tableColumns count="14">
    <tableColumn id="1" xr3:uid="{00000000-0010-0000-0300-000001000000}" name="Date" dataDxfId="42"/>
    <tableColumn id="12" xr3:uid="{00000000-0010-0000-0300-00000C000000}" name="BUY/SELL" dataDxfId="41"/>
    <tableColumn id="2" xr3:uid="{00000000-0010-0000-0300-000002000000}" name="Security"/>
    <tableColumn id="3" xr3:uid="{00000000-0010-0000-0300-000003000000}" name="QTY"/>
    <tableColumn id="4" xr3:uid="{00000000-0010-0000-0300-000004000000}" name="Price"/>
    <tableColumn id="5" xr3:uid="{00000000-0010-0000-0300-000005000000}" name="Total"/>
    <tableColumn id="6" xr3:uid="{00000000-0010-0000-0300-000006000000}" name="Available(SOD)"/>
    <tableColumn id="13" xr3:uid="{00000000-0010-0000-0300-00000D000000}" name="Add Fund"/>
    <tableColumn id="14" xr3:uid="{00000000-0010-0000-0300-00000E000000}" name="Withdraw Fund"/>
    <tableColumn id="7" xr3:uid="{00000000-0010-0000-0300-000007000000}" name="Available(EOD)"/>
    <tableColumn id="8" xr3:uid="{00000000-0010-0000-0300-000008000000}" name="Brokerage" dataDxfId="40">
      <calculatedColumnFormula>IF(AND(Table2245[[#This Row],[Total]] = 0,(Table2245[[#This Row],[Available(EOD)]] - G3) &lt;= 0),"NA",G3-Table2245[[#This Row],[Available(EOD)]])</calculatedColumnFormula>
    </tableColumn>
    <tableColumn id="9" xr3:uid="{00000000-0010-0000-0300-000009000000}" name="Brokerage (%)" dataDxfId="39">
      <calculatedColumnFormula>IF(Table2245[[#This Row],[Total]] = 0, "NA",(Table2245[[#This Row],[Brokerage]]/Table2245[[#This Row],[Total]])*100)</calculatedColumnFormula>
    </tableColumn>
    <tableColumn id="10" xr3:uid="{00000000-0010-0000-0300-00000A000000}" name="Remarks"/>
    <tableColumn id="11" xr3:uid="{00000000-0010-0000-0300-00000B000000}" name="Quaterly Maintenance Charge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2456" displayName="Table22456" ref="A1:N32" totalsRowShown="0">
  <autoFilter ref="A1:N32" xr:uid="{00000000-0009-0000-0100-000005000000}"/>
  <tableColumns count="14">
    <tableColumn id="1" xr3:uid="{00000000-0010-0000-0400-000001000000}" name="Date" dataDxfId="29"/>
    <tableColumn id="12" xr3:uid="{00000000-0010-0000-0400-00000C000000}" name="BUY/SELL" dataDxfId="28"/>
    <tableColumn id="2" xr3:uid="{00000000-0010-0000-0400-000002000000}" name="Security"/>
    <tableColumn id="3" xr3:uid="{00000000-0010-0000-0400-000003000000}" name="QTY"/>
    <tableColumn id="4" xr3:uid="{00000000-0010-0000-0400-000004000000}" name="Price"/>
    <tableColumn id="5" xr3:uid="{00000000-0010-0000-0400-000005000000}" name="Total"/>
    <tableColumn id="6" xr3:uid="{00000000-0010-0000-0400-000006000000}" name="Available(SOD)"/>
    <tableColumn id="13" xr3:uid="{00000000-0010-0000-0400-00000D000000}" name="Add Fund"/>
    <tableColumn id="14" xr3:uid="{00000000-0010-0000-0400-00000E000000}" name="Withdraw Fund"/>
    <tableColumn id="7" xr3:uid="{00000000-0010-0000-0400-000007000000}" name="Available(EOD)"/>
    <tableColumn id="8" xr3:uid="{00000000-0010-0000-0400-000008000000}" name="Brokerage" dataDxfId="27">
      <calculatedColumnFormula>IF(AND(Table22456[[#This Row],[Total]] = 0,(Table22456[[#This Row],[Available(EOD)]] - G3) &lt;= 0),"NA",G3-Table22456[[#This Row],[Available(EOD)]])</calculatedColumnFormula>
    </tableColumn>
    <tableColumn id="9" xr3:uid="{00000000-0010-0000-0400-000009000000}" name="Brokerage (%)" dataDxfId="26">
      <calculatedColumnFormula>IF(Table22456[[#This Row],[Total]] = 0, "NA",(Table22456[[#This Row],[Brokerage]]/Table22456[[#This Row],[Total]])*100)</calculatedColumnFormula>
    </tableColumn>
    <tableColumn id="10" xr3:uid="{00000000-0010-0000-0400-00000A000000}" name="Remarks"/>
    <tableColumn id="11" xr3:uid="{00000000-0010-0000-0400-00000B000000}" name="Quaterly Maintenance Charge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224567" displayName="Table224567" ref="A1:N32" totalsRowShown="0">
  <autoFilter ref="A1:N32" xr:uid="{00000000-0009-0000-0100-000006000000}"/>
  <tableColumns count="14">
    <tableColumn id="1" xr3:uid="{00000000-0010-0000-0500-000001000000}" name="Date" dataDxfId="16"/>
    <tableColumn id="12" xr3:uid="{00000000-0010-0000-0500-00000C000000}" name="BUY/SELL" dataDxfId="15"/>
    <tableColumn id="2" xr3:uid="{00000000-0010-0000-0500-000002000000}" name="Security"/>
    <tableColumn id="3" xr3:uid="{00000000-0010-0000-0500-000003000000}" name="QTY"/>
    <tableColumn id="4" xr3:uid="{00000000-0010-0000-0500-000004000000}" name="Price"/>
    <tableColumn id="5" xr3:uid="{00000000-0010-0000-0500-000005000000}" name="Total"/>
    <tableColumn id="6" xr3:uid="{00000000-0010-0000-0500-000006000000}" name="Available(SOD)"/>
    <tableColumn id="13" xr3:uid="{00000000-0010-0000-0500-00000D000000}" name="Add Fund"/>
    <tableColumn id="14" xr3:uid="{00000000-0010-0000-0500-00000E000000}" name="Withdraw Fund"/>
    <tableColumn id="7" xr3:uid="{00000000-0010-0000-0500-000007000000}" name="Available(EOD)"/>
    <tableColumn id="8" xr3:uid="{00000000-0010-0000-0500-000008000000}" name="Brokerage" dataDxfId="14">
      <calculatedColumnFormula>IF(AND(Table224567[[#This Row],[Total]] = 0,(Table224567[[#This Row],[Available(EOD)]] - G3) &lt;= 0),"NA",G3-Table224567[[#This Row],[Available(EOD)]])</calculatedColumnFormula>
    </tableColumn>
    <tableColumn id="9" xr3:uid="{00000000-0010-0000-0500-000009000000}" name="Brokerage (%)" dataDxfId="13">
      <calculatedColumnFormula>IF(Table224567[[#This Row],[Total]] = 0, "NA",(Table224567[[#This Row],[Brokerage]]/Table224567[[#This Row],[Total]])*100)</calculatedColumnFormula>
    </tableColumn>
    <tableColumn id="10" xr3:uid="{00000000-0010-0000-0500-00000A000000}" name="Remarks"/>
    <tableColumn id="11" xr3:uid="{00000000-0010-0000-0500-00000B000000}" name="Quaterly Maintenance Charge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51AACF9-B81B-43BD-8C18-4BCEC1F97A22}" name="Table2245679" displayName="Table2245679" ref="A1:N32" totalsRowShown="0">
  <autoFilter ref="A1:N32" xr:uid="{00000000-0009-0000-0100-000006000000}"/>
  <tableColumns count="14">
    <tableColumn id="1" xr3:uid="{A6C776B4-61F0-44D6-91FC-82F8C4D0C428}" name="Date" dataDxfId="3"/>
    <tableColumn id="12" xr3:uid="{F638C579-8C64-4D65-9BC0-8D8A0DEE4DC5}" name="BUY/SELL" dataDxfId="2"/>
    <tableColumn id="2" xr3:uid="{C5E2A6D8-3CDC-428A-884E-0445053485FF}" name="Security"/>
    <tableColumn id="3" xr3:uid="{761BAD8C-7D7A-4D69-804D-1AEAED21888A}" name="QTY"/>
    <tableColumn id="4" xr3:uid="{5A7D22EF-4AA4-4D7D-86C1-AC62536D1706}" name="Price"/>
    <tableColumn id="5" xr3:uid="{14717DFF-12A2-4965-91B1-A8A4D09A26AC}" name="Total"/>
    <tableColumn id="6" xr3:uid="{A942B27D-E188-4BB0-89E9-072DE6AAAD0D}" name="Available(SOD)"/>
    <tableColumn id="13" xr3:uid="{B07E6DCD-8DEE-4150-A86A-16B969184CEF}" name="Add Fund"/>
    <tableColumn id="14" xr3:uid="{9C4969A7-3D18-4B9D-AD0D-23798ECC4565}" name="Withdraw Fund"/>
    <tableColumn id="7" xr3:uid="{FDDCC979-0FF1-48AD-A170-80749C3CFCE9}" name="Available(EOD)"/>
    <tableColumn id="8" xr3:uid="{44066D5D-8B80-43E1-9A8A-C82BEAA265FB}" name="Brokerage" dataDxfId="1">
      <calculatedColumnFormula>IF(AND(Table2245679[[#This Row],[Total]] = 0,(Table2245679[[#This Row],[Available(EOD)]] - G3) &lt;= 0),"NA",G3-Table2245679[[#This Row],[Available(EOD)]])</calculatedColumnFormula>
    </tableColumn>
    <tableColumn id="9" xr3:uid="{7A7CDE13-9C82-4FEE-9A62-CE34F1C2E1B2}" name="Brokerage (%)" dataDxfId="0">
      <calculatedColumnFormula>IF(Table2245679[[#This Row],[Total]] = 0, "NA",(Table2245679[[#This Row],[Brokerage]]/Table2245679[[#This Row],[Total]])*100)</calculatedColumnFormula>
    </tableColumn>
    <tableColumn id="10" xr3:uid="{F7856623-430E-4A13-9A2C-B8E39ED352C4}" name="Remarks"/>
    <tableColumn id="11" xr3:uid="{54E22504-DD42-43C2-9AC9-048F4819382A}" name="Quaterly Maintenance Charg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zoomScale="90" zoomScaleNormal="90" workbookViewId="0">
      <selection activeCell="F14" sqref="F14"/>
    </sheetView>
  </sheetViews>
  <sheetFormatPr defaultRowHeight="14.5" x14ac:dyDescent="0.35"/>
  <cols>
    <col min="1" max="1" width="23.54296875" style="92" customWidth="1"/>
    <col min="2" max="2" width="7.54296875" style="92" customWidth="1"/>
    <col min="3" max="3" width="15.26953125" bestFit="1" customWidth="1"/>
    <col min="4" max="4" width="6.7265625" customWidth="1"/>
    <col min="5" max="5" width="15.54296875" customWidth="1"/>
    <col min="7" max="7" width="15.1796875" customWidth="1"/>
    <col min="8" max="8" width="8.7265625" customWidth="1"/>
    <col min="9" max="9" width="9" customWidth="1"/>
    <col min="10" max="10" width="12" customWidth="1"/>
    <col min="11" max="11" width="13.08984375" customWidth="1"/>
    <col min="12" max="12" width="11.54296875" customWidth="1"/>
    <col min="13" max="13" width="50.1796875" bestFit="1" customWidth="1"/>
    <col min="14" max="14" width="18.08984375" customWidth="1"/>
  </cols>
  <sheetData>
    <row r="1" spans="1:14" x14ac:dyDescent="0.35">
      <c r="A1" s="92" t="s">
        <v>0</v>
      </c>
      <c r="B1" s="92" t="s">
        <v>77</v>
      </c>
      <c r="C1" t="s">
        <v>66</v>
      </c>
      <c r="D1" t="s">
        <v>67</v>
      </c>
      <c r="E1" t="s">
        <v>68</v>
      </c>
      <c r="F1" t="s">
        <v>72</v>
      </c>
      <c r="G1" t="s">
        <v>69</v>
      </c>
      <c r="H1" t="s">
        <v>80</v>
      </c>
      <c r="I1" t="s">
        <v>81</v>
      </c>
      <c r="J1" t="s">
        <v>70</v>
      </c>
      <c r="K1" t="s">
        <v>73</v>
      </c>
      <c r="L1" t="s">
        <v>74</v>
      </c>
      <c r="M1" t="s">
        <v>75</v>
      </c>
      <c r="N1" t="s">
        <v>76</v>
      </c>
    </row>
    <row r="2" spans="1:14" x14ac:dyDescent="0.35">
      <c r="A2" s="93">
        <v>44291</v>
      </c>
      <c r="B2" s="93" t="s">
        <v>78</v>
      </c>
      <c r="C2" t="s">
        <v>71</v>
      </c>
      <c r="D2" s="91">
        <v>22</v>
      </c>
      <c r="E2">
        <v>1066.3</v>
      </c>
      <c r="F2">
        <f>D2*E2</f>
        <v>23458.6</v>
      </c>
      <c r="G2">
        <v>30069.759999999998</v>
      </c>
      <c r="H2">
        <v>18000</v>
      </c>
      <c r="J2">
        <f>Table2[[#This Row],[Available(SOD)]] - Table2[[#This Row],[Total]]</f>
        <v>6611.16</v>
      </c>
      <c r="K2" s="88">
        <f>IF(AND(Table2[[#This Row],[Total]] = 0,(Table2[[#This Row],[Available(EOD)]] - G3) &lt;= 0),"NA",G3-Table2[[#This Row],[Available(EOD)]])</f>
        <v>-27.979999999999563</v>
      </c>
      <c r="L2" s="89">
        <f>IF(Table2[[#This Row],[Total]] = 0, "NA",(Table2[[#This Row],[Brokerage]]/Table2[[#This Row],[Total]])*100)</f>
        <v>-0.11927395496747276</v>
      </c>
    </row>
    <row r="3" spans="1:14" x14ac:dyDescent="0.35">
      <c r="A3" s="93">
        <v>44292</v>
      </c>
      <c r="B3" s="93"/>
      <c r="D3">
        <v>0</v>
      </c>
      <c r="E3">
        <v>0</v>
      </c>
      <c r="F3">
        <f t="shared" ref="F3:F5" si="0">D3*E3</f>
        <v>0</v>
      </c>
      <c r="G3">
        <v>6583.18</v>
      </c>
      <c r="J3">
        <f>(Table2[[#This Row],[Available(SOD)]] + Table2[[#This Row],[Add Fund]] - Table2[[#This Row],[Withdraw Fund]]) - Table2[[#This Row],[Total]]</f>
        <v>6583.18</v>
      </c>
      <c r="K3" s="88" t="str">
        <f>IF(AND(Table2[[#This Row],[Total]] = 0,(Table2[[#This Row],[Available(EOD)]] - G4) &lt;= 0),"NA",G4-Table2[[#This Row],[Available(EOD)]])</f>
        <v>NA</v>
      </c>
      <c r="L3" s="89" t="str">
        <f>IF(Table2[[#This Row],[Total]] = 0, "NA",(Table2[[#This Row],[Brokerage]]/Table2[[#This Row],[Total]])*100)</f>
        <v>NA</v>
      </c>
    </row>
    <row r="4" spans="1:14" x14ac:dyDescent="0.35">
      <c r="A4" s="93">
        <v>44293</v>
      </c>
      <c r="B4" s="93"/>
      <c r="D4">
        <v>0</v>
      </c>
      <c r="E4">
        <v>0</v>
      </c>
      <c r="F4">
        <f t="shared" si="0"/>
        <v>0</v>
      </c>
      <c r="G4">
        <f>IF(AND(F3 = 0,N3 &lt;&gt; 0),(J3 - N3),J3)</f>
        <v>6583.18</v>
      </c>
      <c r="J4">
        <f>(Table2[[#This Row],[Available(SOD)]] + Table2[[#This Row],[Add Fund]] - Table2[[#This Row],[Withdraw Fund]]) - Table2[[#This Row],[Total]]</f>
        <v>6583.18</v>
      </c>
      <c r="K4" s="88" t="str">
        <f>IF(AND(Table2[[#This Row],[Total]] = 0,(Table2[[#This Row],[Available(EOD)]] - G5) &lt;= 0),"NA",G5-Table2[[#This Row],[Available(EOD)]])</f>
        <v>NA</v>
      </c>
      <c r="L4" s="89" t="str">
        <f>IF(Table2[[#This Row],[Total]] = 0, "NA",(Table2[[#This Row],[Brokerage]]/Table2[[#This Row],[Total]])*100)</f>
        <v>NA</v>
      </c>
    </row>
    <row r="5" spans="1:14" x14ac:dyDescent="0.35">
      <c r="A5" s="93">
        <v>44294</v>
      </c>
      <c r="B5" s="93" t="s">
        <v>78</v>
      </c>
      <c r="C5" t="s">
        <v>79</v>
      </c>
      <c r="D5">
        <v>30</v>
      </c>
      <c r="E5">
        <v>113.2</v>
      </c>
      <c r="F5">
        <f t="shared" si="0"/>
        <v>3396</v>
      </c>
      <c r="G5">
        <f>IF(AND(F4 = 0,N4 &lt;&gt; 0),(J4 - N4),J4)</f>
        <v>6583.18</v>
      </c>
      <c r="J5">
        <f>(Table2[[#This Row],[Available(SOD)]] + Table2[[#This Row],[Add Fund]] - Table2[[#This Row],[Withdraw Fund]]) - Table2[[#This Row],[Total]]</f>
        <v>3187.1800000000003</v>
      </c>
      <c r="K5" s="88">
        <f>IF(AND(Table2[[#This Row],[Total]] = 0,(Table2[[#This Row],[Available(EOD)]] - G6) &lt;= 0),"NA",G6-Table2[[#This Row],[Available(EOD)]])</f>
        <v>-4.1500000000000909</v>
      </c>
      <c r="L5" s="89">
        <f>IF(Table2[[#This Row],[Total]] = 0, "NA",(Table2[[#This Row],[Brokerage]]/Table2[[#This Row],[Total]])*100)</f>
        <v>-0.12220259128386604</v>
      </c>
      <c r="M5" t="s">
        <v>83</v>
      </c>
    </row>
    <row r="6" spans="1:14" x14ac:dyDescent="0.35">
      <c r="A6" s="93">
        <v>44295</v>
      </c>
      <c r="B6" s="93" t="s">
        <v>78</v>
      </c>
      <c r="C6" t="s">
        <v>71</v>
      </c>
      <c r="D6">
        <v>6</v>
      </c>
      <c r="E6" s="94">
        <f>Table2[[#This Row],[Total]]/6</f>
        <v>1042.5333333333335</v>
      </c>
      <c r="F6">
        <f>(4*1043.65) + (2*1040.3)</f>
        <v>6255.2000000000007</v>
      </c>
      <c r="G6">
        <v>3183.03</v>
      </c>
      <c r="H6">
        <v>5000</v>
      </c>
      <c r="J6">
        <f>(Table2[[#This Row],[Available(SOD)]] + Table2[[#This Row],[Add Fund]] - Table2[[#This Row],[Withdraw Fund]]) - Table2[[#This Row],[Total]]</f>
        <v>1927.83</v>
      </c>
      <c r="K6" s="88">
        <f>IF(AND(Table2[[#This Row],[Total]] = 0,(Table2[[#This Row],[Available(EOD)]] - G7) &lt;= 0),"NA",G7-Table2[[#This Row],[Available(EOD)]])</f>
        <v>-7.2699999999999818</v>
      </c>
      <c r="L6" s="99">
        <f>IF(Table2[[#This Row],[Total]] = 0, "NA",(Table2[[#This Row],[Brokerage]]/Table2[[#This Row],[Total]])*100)</f>
        <v>-0.11622330221255885</v>
      </c>
    </row>
    <row r="7" spans="1:14" x14ac:dyDescent="0.35">
      <c r="A7" s="93">
        <v>44296</v>
      </c>
      <c r="B7" s="93"/>
      <c r="G7">
        <v>1920.56</v>
      </c>
      <c r="J7">
        <f>(Table2[[#This Row],[Available(SOD)]] + Table2[[#This Row],[Add Fund]] - Table2[[#This Row],[Withdraw Fund]]) - Table2[[#This Row],[Total]]</f>
        <v>1920.56</v>
      </c>
      <c r="K7" s="88" t="str">
        <f>IF(AND(Table2[[#This Row],[Total]] = 0,(Table2[[#This Row],[Available(EOD)]] - G8) &lt;= 0),"NA",G8-Table2[[#This Row],[Available(EOD)]])</f>
        <v>NA</v>
      </c>
      <c r="L7" s="89" t="str">
        <f>IF(Table2[[#This Row],[Total]] = 0, "NA",(Table2[[#This Row],[Brokerage]]/Table2[[#This Row],[Total]])*100)</f>
        <v>NA</v>
      </c>
    </row>
    <row r="8" spans="1:14" x14ac:dyDescent="0.35">
      <c r="A8" s="95">
        <v>44297</v>
      </c>
      <c r="B8" s="95"/>
      <c r="C8" s="96"/>
      <c r="D8" s="96"/>
      <c r="E8" s="96"/>
      <c r="F8" s="96"/>
      <c r="G8" s="96">
        <v>1920.56</v>
      </c>
      <c r="H8" s="96"/>
      <c r="I8" s="96"/>
      <c r="J8" s="96">
        <f>(Table2[[#This Row],[Available(SOD)]] + Table2[[#This Row],[Add Fund]] - Table2[[#This Row],[Withdraw Fund]]) - Table2[[#This Row],[Total]]</f>
        <v>1920.56</v>
      </c>
      <c r="K8" s="97" t="str">
        <f>IF(AND(Table2[[#This Row],[Total]] = 0,(Table2[[#This Row],[Available(EOD)]] - G9) &lt;= 0),"NA",G9-Table2[[#This Row],[Available(EOD)]])</f>
        <v>NA</v>
      </c>
      <c r="L8" s="98" t="str">
        <f>IF(Table2[[#This Row],[Total]] = 0, "NA",(Table2[[#This Row],[Brokerage]]/Table2[[#This Row],[Total]])*100)</f>
        <v>NA</v>
      </c>
      <c r="M8" s="96"/>
      <c r="N8" s="96"/>
    </row>
    <row r="9" spans="1:14" x14ac:dyDescent="0.35">
      <c r="A9" s="93">
        <v>44298</v>
      </c>
      <c r="B9" s="93" t="s">
        <v>78</v>
      </c>
      <c r="C9" t="s">
        <v>85</v>
      </c>
      <c r="D9" s="100" t="s">
        <v>86</v>
      </c>
      <c r="E9" t="s">
        <v>84</v>
      </c>
      <c r="F9">
        <f>6*998.33 + 47*205.84</f>
        <v>15664.46</v>
      </c>
      <c r="G9">
        <v>1920.56</v>
      </c>
      <c r="H9">
        <v>19000</v>
      </c>
      <c r="J9">
        <f>(Table2[[#This Row],[Available(SOD)]] + Table2[[#This Row],[Add Fund]] - Table2[[#This Row],[Withdraw Fund]]) - Table2[[#This Row],[Total]]</f>
        <v>5256.1000000000022</v>
      </c>
      <c r="K9" s="88">
        <f>IF(AND(Table2[[#This Row],[Total]] = 0,(Table2[[#This Row],[Available(EOD)]] - G10) &lt;= 0),"NA",G10-Table2[[#This Row],[Available(EOD)]])</f>
        <v>-18.500000000001819</v>
      </c>
      <c r="L9" s="89">
        <f>IF(Table2[[#This Row],[Total]] = 0, "NA",(Table2[[#This Row],[Brokerage]]/Table2[[#This Row],[Total]])*100)</f>
        <v>-0.11810174113886991</v>
      </c>
      <c r="M9" t="s">
        <v>82</v>
      </c>
    </row>
    <row r="10" spans="1:14" x14ac:dyDescent="0.35">
      <c r="A10" s="93">
        <v>44299</v>
      </c>
      <c r="B10" s="93" t="s">
        <v>78</v>
      </c>
      <c r="C10" t="s">
        <v>71</v>
      </c>
      <c r="D10">
        <v>4</v>
      </c>
      <c r="E10">
        <v>990</v>
      </c>
      <c r="F10">
        <f>Table2[[#This Row],[Price]]*Table2[[#This Row],[QTY]]</f>
        <v>3960</v>
      </c>
      <c r="G10">
        <v>5237.6000000000004</v>
      </c>
      <c r="J10">
        <f>(Table2[[#This Row],[Available(SOD)]] + Table2[[#This Row],[Add Fund]] - Table2[[#This Row],[Withdraw Fund]]) - Table2[[#This Row],[Total]]</f>
        <v>1277.6000000000004</v>
      </c>
      <c r="K10" s="88">
        <f>IF(AND(Table2[[#This Row],[Total]] = 0,(Table2[[#This Row],[Available(EOD)]] - G11) &lt;= 0),"NA",G11-Table2[[#This Row],[Available(EOD)]])</f>
        <v>-5.180000000000291</v>
      </c>
      <c r="L10" s="89">
        <f>IF(Table2[[#This Row],[Total]] = 0, "NA",(Table2[[#This Row],[Brokerage]]/Table2[[#This Row],[Total]])*100)</f>
        <v>-0.13080808080808817</v>
      </c>
    </row>
    <row r="11" spans="1:14" x14ac:dyDescent="0.35">
      <c r="A11" s="95">
        <v>44300</v>
      </c>
      <c r="B11" s="95"/>
      <c r="C11" s="96"/>
      <c r="D11" s="96"/>
      <c r="E11" s="96"/>
      <c r="F11" s="96"/>
      <c r="G11" s="96">
        <v>1272.42</v>
      </c>
      <c r="H11" s="96"/>
      <c r="I11" s="96"/>
      <c r="J11" s="96">
        <f>(Table2[[#This Row],[Available(SOD)]] + Table2[[#This Row],[Add Fund]] - Table2[[#This Row],[Withdraw Fund]]) - Table2[[#This Row],[Total]]</f>
        <v>1272.42</v>
      </c>
      <c r="K11" s="97" t="str">
        <f>IF(AND(Table2[[#This Row],[Total]] = 0,(Table2[[#This Row],[Available(EOD)]] - G12) &lt;= 0),"NA",G12-Table2[[#This Row],[Available(EOD)]])</f>
        <v>NA</v>
      </c>
      <c r="L11" s="98" t="str">
        <f>IF(Table2[[#This Row],[Total]] = 0, "NA",(Table2[[#This Row],[Brokerage]]/Table2[[#This Row],[Total]])*100)</f>
        <v>NA</v>
      </c>
      <c r="M11" s="96"/>
      <c r="N11" s="96"/>
    </row>
    <row r="12" spans="1:14" x14ac:dyDescent="0.35">
      <c r="A12" s="93">
        <v>44301</v>
      </c>
      <c r="B12" s="93"/>
      <c r="G12">
        <v>1272.42</v>
      </c>
      <c r="J12">
        <f>(Table2[[#This Row],[Available(SOD)]] + Table2[[#This Row],[Add Fund]] - Table2[[#This Row],[Withdraw Fund]]) - Table2[[#This Row],[Total]]</f>
        <v>1272.42</v>
      </c>
      <c r="K12" s="88" t="str">
        <f>IF(AND(Table2[[#This Row],[Total]] = 0,(Table2[[#This Row],[Available(EOD)]] - G13) &lt;= 0),"NA",G13-Table2[[#This Row],[Available(EOD)]])</f>
        <v>NA</v>
      </c>
      <c r="L12" s="89" t="str">
        <f>IF(Table2[[#This Row],[Total]] = 0, "NA",(Table2[[#This Row],[Brokerage]]/Table2[[#This Row],[Total]])*100)</f>
        <v>NA</v>
      </c>
    </row>
    <row r="13" spans="1:14" x14ac:dyDescent="0.35">
      <c r="A13" s="93">
        <v>44302</v>
      </c>
      <c r="B13" s="93"/>
      <c r="G13">
        <v>1272.42</v>
      </c>
      <c r="H13">
        <v>10000</v>
      </c>
      <c r="J13">
        <f>(Table2[[#This Row],[Available(SOD)]] + Table2[[#This Row],[Add Fund]] - Table2[[#This Row],[Withdraw Fund]]) - Table2[[#This Row],[Total]]</f>
        <v>11272.42</v>
      </c>
      <c r="K13" s="88" t="str">
        <f>IF(AND(Table2[[#This Row],[Total]] = 0,(Table2[[#This Row],[Available(EOD)]] - G14) &lt;= 0),"NA",G14-Table2[[#This Row],[Available(EOD)]])</f>
        <v>NA</v>
      </c>
      <c r="L13" s="89" t="str">
        <f>IF(Table2[[#This Row],[Total]] = 0, "NA",(Table2[[#This Row],[Brokerage]]/Table2[[#This Row],[Total]])*100)</f>
        <v>NA</v>
      </c>
    </row>
    <row r="14" spans="1:14" x14ac:dyDescent="0.35">
      <c r="A14" s="93">
        <v>44303</v>
      </c>
      <c r="B14" s="93"/>
      <c r="G14">
        <v>11272.42</v>
      </c>
      <c r="J14">
        <f>(Table2[[#This Row],[Available(SOD)]] + Table2[[#This Row],[Add Fund]] - Table2[[#This Row],[Withdraw Fund]]) - Table2[[#This Row],[Total]]</f>
        <v>11272.42</v>
      </c>
      <c r="K14" s="90" t="str">
        <f>IF(AND(Table2[[#This Row],[Total]] = 0,(Table2[[#This Row],[Available(EOD)]] - G15) &lt;= 0),"NA",G15-Table2[[#This Row],[Available(EOD)]])</f>
        <v>NA</v>
      </c>
      <c r="L14" s="89" t="str">
        <f>IF(Table2[[#This Row],[Total]] = 0, "NA",(Table2[[#This Row],[Brokerage]]/Table2[[#This Row],[Total]])*100)</f>
        <v>NA</v>
      </c>
    </row>
    <row r="15" spans="1:14" x14ac:dyDescent="0.35">
      <c r="A15" s="95">
        <v>44304</v>
      </c>
      <c r="B15" s="95"/>
      <c r="C15" s="96"/>
      <c r="D15" s="96"/>
      <c r="E15" s="96"/>
      <c r="F15" s="96"/>
      <c r="G15" s="96">
        <v>11272.42</v>
      </c>
      <c r="H15" s="96"/>
      <c r="I15" s="96"/>
      <c r="J15" s="96">
        <f>(Table2[[#This Row],[Available(SOD)]] + Table2[[#This Row],[Add Fund]] - Table2[[#This Row],[Withdraw Fund]]) - Table2[[#This Row],[Total]]</f>
        <v>11272.42</v>
      </c>
      <c r="K15" s="97" t="str">
        <f>IF(AND(Table2[[#This Row],[Total]] = 0,(Table2[[#This Row],[Available(EOD)]] - G16) &lt;= 0),"NA",G16-Table2[[#This Row],[Available(EOD)]])</f>
        <v>NA</v>
      </c>
      <c r="L15" s="98" t="str">
        <f>IF(Table2[[#This Row],[Total]] = 0, "NA",(Table2[[#This Row],[Brokerage]]/Table2[[#This Row],[Total]])*100)</f>
        <v>NA</v>
      </c>
      <c r="M15" s="96"/>
      <c r="N15" s="96"/>
    </row>
    <row r="16" spans="1:14" x14ac:dyDescent="0.35">
      <c r="A16" s="93">
        <v>44305</v>
      </c>
      <c r="B16" s="93" t="s">
        <v>78</v>
      </c>
      <c r="C16" t="s">
        <v>89</v>
      </c>
      <c r="D16" t="s">
        <v>90</v>
      </c>
      <c r="E16" t="s">
        <v>91</v>
      </c>
      <c r="F16">
        <f>2*966 + 40*204.24 + 44*50</f>
        <v>12301.6</v>
      </c>
      <c r="G16">
        <v>11272.42</v>
      </c>
      <c r="H16">
        <v>10000</v>
      </c>
      <c r="J16">
        <f>(Table2[[#This Row],[Available(SOD)]] + Table2[[#This Row],[Add Fund]] - Table2[[#This Row],[Withdraw Fund]]) - Table2[[#This Row],[Total]]</f>
        <v>8970.8199999999979</v>
      </c>
      <c r="K16" s="90">
        <f>IF(AND(Table2[[#This Row],[Total]] = 0,(Table2[[#This Row],[Available(EOD)]] - G17) &lt;= 0),"NA",G17-Table2[[#This Row],[Available(EOD)]])</f>
        <v>-14.409999999998035</v>
      </c>
      <c r="L16" s="89">
        <f>IF(Table2[[#This Row],[Total]] = 0, "NA",(Table2[[#This Row],[Brokerage]]/Table2[[#This Row],[Total]])*100)</f>
        <v>-0.11713923392077481</v>
      </c>
    </row>
    <row r="17" spans="1:14" x14ac:dyDescent="0.35">
      <c r="A17" s="93">
        <v>44306</v>
      </c>
      <c r="B17" s="93" t="s">
        <v>78</v>
      </c>
      <c r="C17" t="s">
        <v>92</v>
      </c>
      <c r="D17" t="s">
        <v>93</v>
      </c>
      <c r="E17" t="s">
        <v>94</v>
      </c>
      <c r="F17">
        <f>44*203.96+14*203.37+4*973</f>
        <v>15713.42</v>
      </c>
      <c r="G17">
        <v>8956.41</v>
      </c>
      <c r="H17">
        <v>7000</v>
      </c>
      <c r="J17">
        <f>(Table2[[#This Row],[Available(SOD)]] + Table2[[#This Row],[Add Fund]] - Table2[[#This Row],[Withdraw Fund]]) - Table2[[#This Row],[Total]]</f>
        <v>242.98999999999978</v>
      </c>
      <c r="K17" s="90">
        <f>IF(AND(Table2[[#This Row],[Total]] = 0,(Table2[[#This Row],[Available(EOD)]] - G18) &lt;= 0),"NA",G18-Table2[[#This Row],[Available(EOD)]])</f>
        <v>-18.539999999999793</v>
      </c>
      <c r="L17" s="89">
        <f>IF(Table2[[#This Row],[Total]] = 0, "NA",(Table2[[#This Row],[Brokerage]]/Table2[[#This Row],[Total]])*100)</f>
        <v>-0.11798831826553222</v>
      </c>
    </row>
    <row r="18" spans="1:14" x14ac:dyDescent="0.35">
      <c r="A18" s="93">
        <v>44307</v>
      </c>
      <c r="B18" s="93"/>
      <c r="G18">
        <v>224.45</v>
      </c>
      <c r="J18">
        <f>(Table2[[#This Row],[Available(SOD)]] + Table2[[#This Row],[Add Fund]] - Table2[[#This Row],[Withdraw Fund]]) - Table2[[#This Row],[Total]]</f>
        <v>224.45</v>
      </c>
      <c r="K18" s="90" t="str">
        <f>IF(AND(Table2[[#This Row],[Total]] = 0,(Table2[[#This Row],[Available(EOD)]] - G19) &lt;= 0),"NA",G19-Table2[[#This Row],[Available(EOD)]])</f>
        <v>NA</v>
      </c>
      <c r="L18" s="89" t="str">
        <f>IF(Table2[[#This Row],[Total]] = 0, "NA",(Table2[[#This Row],[Brokerage]]/Table2[[#This Row],[Total]])*100)</f>
        <v>NA</v>
      </c>
    </row>
    <row r="19" spans="1:14" x14ac:dyDescent="0.35">
      <c r="A19" s="93">
        <v>44308</v>
      </c>
      <c r="B19" s="93"/>
      <c r="G19">
        <v>224.45</v>
      </c>
      <c r="H19">
        <v>9000</v>
      </c>
      <c r="J19">
        <f>(Table2[[#This Row],[Available(SOD)]] + Table2[[#This Row],[Add Fund]] - Table2[[#This Row],[Withdraw Fund]]) - Table2[[#This Row],[Total]]</f>
        <v>9224.4500000000007</v>
      </c>
      <c r="K19" s="90" t="str">
        <f>IF(AND(Table2[[#This Row],[Total]] = 0,(Table2[[#This Row],[Available(EOD)]] - G20) &lt;= 0),"NA",G20-Table2[[#This Row],[Available(EOD)]])</f>
        <v>NA</v>
      </c>
      <c r="L19" s="89" t="str">
        <f>IF(Table2[[#This Row],[Total]] = 0, "NA",(Table2[[#This Row],[Brokerage]]/Table2[[#This Row],[Total]])*100)</f>
        <v>NA</v>
      </c>
    </row>
    <row r="20" spans="1:14" x14ac:dyDescent="0.35">
      <c r="A20" s="93">
        <v>44309</v>
      </c>
      <c r="B20" s="93"/>
      <c r="G20">
        <v>9224.4500000000007</v>
      </c>
      <c r="J20">
        <f>(Table2[[#This Row],[Available(SOD)]] + Table2[[#This Row],[Add Fund]] - Table2[[#This Row],[Withdraw Fund]]) - Table2[[#This Row],[Total]]</f>
        <v>9224.4500000000007</v>
      </c>
      <c r="K20" s="90" t="str">
        <f>IF(AND(Table2[[#This Row],[Total]] = 0,(Table2[[#This Row],[Available(EOD)]] - G21) &lt;= 0),"NA",G21-Table2[[#This Row],[Available(EOD)]])</f>
        <v>NA</v>
      </c>
      <c r="L20" s="89" t="str">
        <f>IF(Table2[[#This Row],[Total]] = 0, "NA",(Table2[[#This Row],[Brokerage]]/Table2[[#This Row],[Total]])*100)</f>
        <v>NA</v>
      </c>
    </row>
    <row r="21" spans="1:14" x14ac:dyDescent="0.35">
      <c r="A21" s="93">
        <v>44310</v>
      </c>
      <c r="B21" s="93"/>
      <c r="G21">
        <v>9224.4500000000007</v>
      </c>
      <c r="J21">
        <f>(Table2[[#This Row],[Available(SOD)]] + Table2[[#This Row],[Add Fund]] - Table2[[#This Row],[Withdraw Fund]]) - Table2[[#This Row],[Total]]</f>
        <v>9224.4500000000007</v>
      </c>
      <c r="K21" s="90" t="str">
        <f>IF(AND(Table2[[#This Row],[Total]] = 0,(Table2[[#This Row],[Available(EOD)]] - G22) &lt;= 0),"NA",G22-Table2[[#This Row],[Available(EOD)]])</f>
        <v>NA</v>
      </c>
      <c r="L21" s="89" t="str">
        <f>IF(Table2[[#This Row],[Total]] = 0, "NA",(Table2[[#This Row],[Brokerage]]/Table2[[#This Row],[Total]])*100)</f>
        <v>NA</v>
      </c>
    </row>
    <row r="22" spans="1:14" x14ac:dyDescent="0.35">
      <c r="A22" s="95">
        <v>44311</v>
      </c>
      <c r="B22" s="95"/>
      <c r="C22" s="96"/>
      <c r="D22" s="96"/>
      <c r="E22" s="96"/>
      <c r="F22" s="96"/>
      <c r="G22" s="96">
        <v>9224.4500000000007</v>
      </c>
      <c r="H22" s="96"/>
      <c r="I22" s="96"/>
      <c r="J22" s="96">
        <f>(Table2[[#This Row],[Available(SOD)]] + Table2[[#This Row],[Add Fund]] - Table2[[#This Row],[Withdraw Fund]]) - Table2[[#This Row],[Total]]</f>
        <v>9224.4500000000007</v>
      </c>
      <c r="K22" s="97" t="str">
        <f>IF(AND(Table2[[#This Row],[Total]] = 0,(Table2[[#This Row],[Available(EOD)]] - G23) &lt;= 0),"NA",G23-Table2[[#This Row],[Available(EOD)]])</f>
        <v>NA</v>
      </c>
      <c r="L22" s="98" t="str">
        <f>IF(Table2[[#This Row],[Total]] = 0, "NA",(Table2[[#This Row],[Brokerage]]/Table2[[#This Row],[Total]])*100)</f>
        <v>NA</v>
      </c>
      <c r="M22" s="96"/>
      <c r="N22" s="96"/>
    </row>
    <row r="23" spans="1:14" x14ac:dyDescent="0.35">
      <c r="A23" s="93">
        <v>44312</v>
      </c>
      <c r="B23" s="93"/>
      <c r="G23">
        <v>9224.4500000000007</v>
      </c>
      <c r="J23">
        <f>(Table2[[#This Row],[Available(SOD)]] + Table2[[#This Row],[Add Fund]] - Table2[[#This Row],[Withdraw Fund]]) - Table2[[#This Row],[Total]]</f>
        <v>9224.4500000000007</v>
      </c>
      <c r="K23" s="90" t="str">
        <f>IF(AND(Table2[[#This Row],[Total]] = 0,(Table2[[#This Row],[Available(EOD)]] - G24) &lt;= 0),"NA",G24-Table2[[#This Row],[Available(EOD)]])</f>
        <v>NA</v>
      </c>
      <c r="L23" s="89" t="str">
        <f>IF(Table2[[#This Row],[Total]] = 0, "NA",(Table2[[#This Row],[Brokerage]]/Table2[[#This Row],[Total]])*100)</f>
        <v>NA</v>
      </c>
    </row>
    <row r="24" spans="1:14" x14ac:dyDescent="0.35">
      <c r="A24" s="93">
        <v>44313</v>
      </c>
      <c r="B24" s="93"/>
      <c r="G24">
        <v>9224.4500000000007</v>
      </c>
      <c r="J24">
        <f>(Table2[[#This Row],[Available(SOD)]] + Table2[[#This Row],[Add Fund]] - Table2[[#This Row],[Withdraw Fund]]) - Table2[[#This Row],[Total]]</f>
        <v>9224.4500000000007</v>
      </c>
      <c r="K24" s="90" t="str">
        <f>IF(AND(Table2[[#This Row],[Total]] = 0,(Table2[[#This Row],[Available(EOD)]] - G25) &lt;= 0),"NA",G25-Table2[[#This Row],[Available(EOD)]])</f>
        <v>NA</v>
      </c>
      <c r="L24" s="89" t="str">
        <f>IF(Table2[[#This Row],[Total]] = 0, "NA",(Table2[[#This Row],[Brokerage]]/Table2[[#This Row],[Total]])*100)</f>
        <v>NA</v>
      </c>
    </row>
    <row r="25" spans="1:14" x14ac:dyDescent="0.35">
      <c r="A25" s="93">
        <v>44314</v>
      </c>
      <c r="B25" s="93"/>
      <c r="G25">
        <v>9224.4500000000007</v>
      </c>
      <c r="J25">
        <f>(Table2[[#This Row],[Available(SOD)]] + Table2[[#This Row],[Add Fund]] - Table2[[#This Row],[Withdraw Fund]]) - Table2[[#This Row],[Total]]</f>
        <v>9224.4500000000007</v>
      </c>
      <c r="K25" s="90" t="str">
        <f>IF(AND(Table2[[#This Row],[Total]] = 0,(Table2[[#This Row],[Available(EOD)]] - G26) &lt;= 0),"NA",G26-Table2[[#This Row],[Available(EOD)]])</f>
        <v>NA</v>
      </c>
      <c r="L25" s="89" t="str">
        <f>IF(Table2[[#This Row],[Total]] = 0, "NA",(Table2[[#This Row],[Brokerage]]/Table2[[#This Row],[Total]])*100)</f>
        <v>NA</v>
      </c>
    </row>
    <row r="26" spans="1:14" x14ac:dyDescent="0.35">
      <c r="A26" s="93">
        <v>44315</v>
      </c>
      <c r="B26" s="93" t="s">
        <v>78</v>
      </c>
      <c r="C26" t="s">
        <v>95</v>
      </c>
      <c r="D26">
        <v>20</v>
      </c>
      <c r="E26">
        <v>204.4</v>
      </c>
      <c r="F26">
        <f>Table2[[#This Row],[QTY]]*Table2[[#This Row],[Price]]</f>
        <v>4088</v>
      </c>
      <c r="G26">
        <v>9224.4500000000007</v>
      </c>
      <c r="J26">
        <f>(Table2[[#This Row],[Available(SOD)]] + Table2[[#This Row],[Add Fund]] - Table2[[#This Row],[Withdraw Fund]]) - Table2[[#This Row],[Total]]</f>
        <v>5136.4500000000007</v>
      </c>
      <c r="K26" s="90">
        <f>IF(AND(Table2[[#This Row],[Total]] = 0,(Table2[[#This Row],[Available(EOD)]] - G27) &lt;= 0),"NA",G27-Table2[[#This Row],[Available(EOD)]])</f>
        <v>-5.180000000000291</v>
      </c>
      <c r="L26" s="89">
        <f>IF(Table2[[#This Row],[Total]] = 0, "NA",(Table2[[#This Row],[Brokerage]]/Table2[[#This Row],[Total]])*100)</f>
        <v>-0.1267123287671304</v>
      </c>
    </row>
    <row r="27" spans="1:14" x14ac:dyDescent="0.35">
      <c r="A27" s="93">
        <v>44316</v>
      </c>
      <c r="B27" s="93"/>
      <c r="G27">
        <v>5131.2700000000004</v>
      </c>
      <c r="J27">
        <f>(Table2[[#This Row],[Available(SOD)]] + Table2[[#This Row],[Add Fund]] - Table2[[#This Row],[Withdraw Fund]]) - Table2[[#This Row],[Total]]</f>
        <v>5131.2700000000004</v>
      </c>
      <c r="K27" s="90" t="s">
        <v>96</v>
      </c>
      <c r="L27" s="89" t="str">
        <f>IF(Table2[[#This Row],[Total]] = 0, "NA",(Table2[[#This Row],[Brokerage]]/Table2[[#This Row],[Total]])*100)</f>
        <v>NA</v>
      </c>
    </row>
  </sheetData>
  <conditionalFormatting sqref="A2:B10 A23:B27 A12:B14 A16:B21">
    <cfRule type="beginsWith" dxfId="81" priority="4" operator="beginsWith" text="Sunday">
      <formula>LEFT(A2,LEN("Sunday"))="Sunday"</formula>
    </cfRule>
  </conditionalFormatting>
  <conditionalFormatting sqref="A15:B15">
    <cfRule type="beginsWith" dxfId="80" priority="3" operator="beginsWith" text="Sunday">
      <formula>LEFT(A15,LEN("Sunday"))="Sunday"</formula>
    </cfRule>
  </conditionalFormatting>
  <conditionalFormatting sqref="A22:B22">
    <cfRule type="beginsWith" dxfId="79" priority="2" operator="beginsWith" text="Sunday">
      <formula>LEFT(A22,LEN("Sunday"))="Sunday"</formula>
    </cfRule>
  </conditionalFormatting>
  <conditionalFormatting sqref="A11:B11">
    <cfRule type="beginsWith" dxfId="78" priority="1" operator="beginsWith" text="Sunday">
      <formula>LEFT(A11,LEN("Sunday"))="Sunday"</formula>
    </cfRule>
  </conditionalFormatting>
  <pageMargins left="0.7" right="0.7" top="0.75" bottom="0.75" header="0.3" footer="0.3"/>
  <pageSetup orientation="portrait" horizontalDpi="90" verticalDpi="90" r:id="rId1"/>
  <ignoredErrors>
    <ignoredError sqref="D9" twoDigitTextYear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7"/>
  <sheetViews>
    <sheetView showGridLines="0" workbookViewId="0">
      <selection activeCell="I4" sqref="I4:I13"/>
    </sheetView>
  </sheetViews>
  <sheetFormatPr defaultRowHeight="14.5" x14ac:dyDescent="0.35"/>
  <cols>
    <col min="2" max="2" width="6" style="35" customWidth="1"/>
    <col min="3" max="3" width="16.453125" customWidth="1"/>
    <col min="4" max="4" width="22.26953125" customWidth="1"/>
    <col min="5" max="5" width="42.81640625" customWidth="1"/>
    <col min="6" max="6" width="27.453125" customWidth="1"/>
    <col min="7" max="7" width="23" customWidth="1"/>
    <col min="8" max="8" width="18.26953125" customWidth="1"/>
  </cols>
  <sheetData>
    <row r="1" spans="1:9" x14ac:dyDescent="0.35">
      <c r="A1" s="13"/>
      <c r="B1" s="33"/>
      <c r="C1" s="13"/>
      <c r="D1" s="13"/>
      <c r="E1" s="13"/>
      <c r="F1" s="13"/>
      <c r="G1" s="13"/>
    </row>
    <row r="2" spans="1:9" x14ac:dyDescent="0.35">
      <c r="A2" s="16"/>
      <c r="B2" s="34"/>
      <c r="C2" s="23"/>
      <c r="D2" s="16"/>
      <c r="E2" s="23"/>
      <c r="F2" s="23"/>
      <c r="G2" s="16"/>
    </row>
    <row r="3" spans="1:9" ht="26" x14ac:dyDescent="0.35">
      <c r="A3" s="16"/>
      <c r="B3" s="31" t="s">
        <v>23</v>
      </c>
      <c r="C3" s="31" t="s">
        <v>0</v>
      </c>
      <c r="D3" s="31" t="s">
        <v>27</v>
      </c>
      <c r="E3" s="31" t="s">
        <v>5</v>
      </c>
      <c r="F3" s="31" t="s">
        <v>28</v>
      </c>
      <c r="G3" s="31" t="s">
        <v>2</v>
      </c>
      <c r="H3" s="31" t="s">
        <v>29</v>
      </c>
      <c r="I3" s="31" t="s">
        <v>43</v>
      </c>
    </row>
    <row r="4" spans="1:9" x14ac:dyDescent="0.35">
      <c r="A4" s="16"/>
      <c r="B4" s="29">
        <v>1</v>
      </c>
      <c r="C4" s="32"/>
      <c r="D4" s="5"/>
      <c r="E4" s="5"/>
      <c r="F4" s="6"/>
      <c r="G4" s="6"/>
      <c r="H4" s="6"/>
      <c r="I4" s="6"/>
    </row>
    <row r="5" spans="1:9" x14ac:dyDescent="0.35">
      <c r="A5" s="16"/>
      <c r="B5" s="30">
        <v>2</v>
      </c>
      <c r="C5" s="36"/>
      <c r="D5" s="8"/>
      <c r="E5" s="8"/>
      <c r="F5" s="6"/>
      <c r="G5" s="6"/>
      <c r="H5" s="6"/>
      <c r="I5" s="6"/>
    </row>
    <row r="6" spans="1:9" x14ac:dyDescent="0.35">
      <c r="A6" s="16"/>
      <c r="B6" s="30">
        <v>3</v>
      </c>
      <c r="C6" s="36"/>
      <c r="D6" s="8"/>
      <c r="E6" s="8"/>
      <c r="F6" s="6"/>
      <c r="G6" s="6"/>
      <c r="H6" s="6"/>
      <c r="I6" s="6"/>
    </row>
    <row r="7" spans="1:9" x14ac:dyDescent="0.35">
      <c r="A7" s="16"/>
      <c r="B7" s="30">
        <v>4</v>
      </c>
      <c r="C7" s="36"/>
      <c r="D7" s="10"/>
      <c r="E7" s="10"/>
      <c r="F7" s="6"/>
      <c r="G7" s="6"/>
      <c r="H7" s="6"/>
      <c r="I7" s="6"/>
    </row>
    <row r="8" spans="1:9" x14ac:dyDescent="0.35">
      <c r="B8" s="30">
        <v>5</v>
      </c>
      <c r="C8" s="36"/>
      <c r="D8" s="7"/>
      <c r="E8" s="7"/>
      <c r="F8" s="6"/>
      <c r="G8" s="6"/>
      <c r="H8" s="6"/>
      <c r="I8" s="6"/>
    </row>
    <row r="9" spans="1:9" x14ac:dyDescent="0.35">
      <c r="B9" s="30">
        <v>6</v>
      </c>
      <c r="C9" s="36"/>
      <c r="D9" s="8"/>
      <c r="E9" s="8"/>
      <c r="F9" s="6"/>
      <c r="G9" s="6"/>
      <c r="H9" s="6"/>
      <c r="I9" s="6"/>
    </row>
    <row r="10" spans="1:9" x14ac:dyDescent="0.35">
      <c r="B10" s="30">
        <v>7</v>
      </c>
      <c r="C10" s="36"/>
      <c r="D10" s="7"/>
      <c r="E10" s="7"/>
      <c r="F10" s="6"/>
      <c r="G10" s="6"/>
      <c r="H10" s="6"/>
      <c r="I10" s="6"/>
    </row>
    <row r="11" spans="1:9" x14ac:dyDescent="0.35">
      <c r="B11" s="30">
        <v>8</v>
      </c>
      <c r="C11" s="36"/>
      <c r="D11" s="7"/>
      <c r="E11" s="7"/>
      <c r="F11" s="6"/>
      <c r="G11" s="6"/>
      <c r="H11" s="6"/>
      <c r="I11" s="6"/>
    </row>
    <row r="12" spans="1:9" x14ac:dyDescent="0.35">
      <c r="B12" s="30">
        <v>9</v>
      </c>
      <c r="C12" s="36"/>
      <c r="D12" s="7"/>
      <c r="E12" s="7"/>
      <c r="F12" s="6"/>
      <c r="G12" s="6"/>
      <c r="H12" s="6"/>
      <c r="I12" s="6"/>
    </row>
    <row r="13" spans="1:9" x14ac:dyDescent="0.35">
      <c r="B13" s="30">
        <v>10</v>
      </c>
      <c r="C13" s="36"/>
      <c r="D13" s="7"/>
      <c r="E13" s="7"/>
      <c r="F13" s="6"/>
      <c r="G13" s="6"/>
      <c r="H13" s="6"/>
      <c r="I13" s="6"/>
    </row>
    <row r="16" spans="1:9" x14ac:dyDescent="0.35">
      <c r="B16" s="37" t="s">
        <v>46</v>
      </c>
    </row>
    <row r="17" spans="2:2" x14ac:dyDescent="0.35">
      <c r="B17" s="38" t="s">
        <v>41</v>
      </c>
    </row>
  </sheetData>
  <dataValidations count="3">
    <dataValidation type="list" allowBlank="1" showInputMessage="1" showErrorMessage="1" sqref="H4:H13" xr:uid="{00000000-0002-0000-0800-000000000000}">
      <formula1>"WIP, Completed"</formula1>
    </dataValidation>
    <dataValidation type="list" allowBlank="1" showInputMessage="1" showErrorMessage="1" sqref="F4:F13" xr:uid="{00000000-0002-0000-0800-000001000000}">
      <formula1>"Client Demo, Client Visit, Presentation Material"</formula1>
    </dataValidation>
    <dataValidation type="list" allowBlank="1" showInputMessage="1" showErrorMessage="1" sqref="I4:I13" xr:uid="{00000000-0002-0000-0800-000002000000}">
      <formula1>"Week 1, Week 2, Week 3, Week 4,Week 5"</formula1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8"/>
  <sheetViews>
    <sheetView showGridLines="0" zoomScaleNormal="100" workbookViewId="0">
      <selection activeCell="I5" sqref="I5"/>
    </sheetView>
  </sheetViews>
  <sheetFormatPr defaultRowHeight="14.5" x14ac:dyDescent="0.35"/>
  <cols>
    <col min="2" max="2" width="7.81640625" customWidth="1"/>
    <col min="3" max="3" width="11.453125" style="1" customWidth="1"/>
    <col min="4" max="4" width="28.1796875" bestFit="1" customWidth="1"/>
    <col min="5" max="5" width="42.81640625" customWidth="1"/>
    <col min="6" max="6" width="15.453125" customWidth="1"/>
    <col min="7" max="8" width="17.453125" bestFit="1" customWidth="1"/>
  </cols>
  <sheetData>
    <row r="1" spans="1:9" x14ac:dyDescent="0.35">
      <c r="A1" s="13"/>
      <c r="B1" s="13"/>
      <c r="C1" s="13"/>
      <c r="D1" s="3"/>
      <c r="E1" s="13"/>
    </row>
    <row r="2" spans="1:9" x14ac:dyDescent="0.35">
      <c r="A2" s="13"/>
      <c r="B2" s="16"/>
      <c r="C2" s="16"/>
      <c r="D2" s="23"/>
      <c r="E2" s="23"/>
    </row>
    <row r="3" spans="1:9" ht="27.75" customHeight="1" x14ac:dyDescent="0.35">
      <c r="A3" s="13"/>
      <c r="B3" s="31" t="s">
        <v>23</v>
      </c>
      <c r="C3" s="31" t="s">
        <v>0</v>
      </c>
      <c r="D3" s="31" t="s">
        <v>27</v>
      </c>
      <c r="E3" s="31" t="s">
        <v>5</v>
      </c>
      <c r="F3" s="31"/>
      <c r="G3" s="31" t="s">
        <v>2</v>
      </c>
      <c r="H3" s="31" t="s">
        <v>29</v>
      </c>
      <c r="I3" s="31" t="s">
        <v>43</v>
      </c>
    </row>
    <row r="4" spans="1:9" x14ac:dyDescent="0.35">
      <c r="A4" s="13"/>
      <c r="B4" s="29">
        <v>1</v>
      </c>
      <c r="C4" s="45"/>
      <c r="D4" s="5"/>
      <c r="E4" s="5"/>
      <c r="F4" s="83"/>
      <c r="G4" s="6"/>
      <c r="H4" s="6"/>
      <c r="I4" s="6"/>
    </row>
    <row r="5" spans="1:9" x14ac:dyDescent="0.35">
      <c r="A5" s="13"/>
      <c r="B5" s="30">
        <v>2</v>
      </c>
      <c r="C5" s="45"/>
      <c r="D5" s="8"/>
      <c r="E5" s="8"/>
      <c r="F5" s="84"/>
      <c r="G5" s="6"/>
      <c r="H5" s="6"/>
      <c r="I5" s="6"/>
    </row>
    <row r="6" spans="1:9" x14ac:dyDescent="0.35">
      <c r="A6" s="13"/>
      <c r="B6" s="30">
        <v>3</v>
      </c>
      <c r="C6" s="45"/>
      <c r="D6" s="8"/>
      <c r="E6" s="8"/>
      <c r="F6" s="84"/>
      <c r="G6" s="6"/>
      <c r="H6" s="6"/>
      <c r="I6" s="6"/>
    </row>
    <row r="7" spans="1:9" x14ac:dyDescent="0.35">
      <c r="A7" s="13"/>
      <c r="B7" s="30">
        <v>4</v>
      </c>
      <c r="C7" s="36"/>
      <c r="D7" s="10"/>
      <c r="E7" s="10"/>
      <c r="F7" s="85"/>
      <c r="G7" s="6"/>
      <c r="H7" s="6"/>
      <c r="I7" s="6"/>
    </row>
    <row r="8" spans="1:9" x14ac:dyDescent="0.35">
      <c r="A8" s="13"/>
      <c r="B8" s="30">
        <v>5</v>
      </c>
      <c r="C8" s="36"/>
      <c r="D8" s="7"/>
      <c r="E8" s="7"/>
      <c r="F8" s="86"/>
      <c r="G8" s="6"/>
      <c r="H8" s="6"/>
      <c r="I8" s="6"/>
    </row>
    <row r="9" spans="1:9" x14ac:dyDescent="0.35">
      <c r="A9" s="13"/>
      <c r="B9" s="30">
        <v>6</v>
      </c>
      <c r="C9" s="36"/>
      <c r="D9" s="8"/>
      <c r="E9" s="8"/>
      <c r="F9" s="84"/>
      <c r="G9" s="6"/>
      <c r="H9" s="6"/>
      <c r="I9" s="6"/>
    </row>
    <row r="10" spans="1:9" x14ac:dyDescent="0.35">
      <c r="A10" s="13"/>
      <c r="B10" s="30">
        <v>7</v>
      </c>
      <c r="C10" s="36"/>
      <c r="D10" s="7"/>
      <c r="E10" s="7"/>
      <c r="F10" s="86"/>
      <c r="G10" s="6"/>
      <c r="H10" s="6"/>
      <c r="I10" s="6"/>
    </row>
    <row r="11" spans="1:9" x14ac:dyDescent="0.35">
      <c r="A11" s="13"/>
      <c r="B11" s="30">
        <v>8</v>
      </c>
      <c r="C11" s="36"/>
      <c r="D11" s="7"/>
      <c r="E11" s="7"/>
      <c r="F11" s="86"/>
      <c r="G11" s="6"/>
      <c r="H11" s="6"/>
      <c r="I11" s="6"/>
    </row>
    <row r="12" spans="1:9" x14ac:dyDescent="0.35">
      <c r="A12" s="13"/>
      <c r="B12" s="30">
        <v>9</v>
      </c>
      <c r="C12" s="36"/>
      <c r="D12" s="7"/>
      <c r="E12" s="7"/>
      <c r="F12" s="86"/>
      <c r="G12" s="6"/>
      <c r="H12" s="6"/>
      <c r="I12" s="6"/>
    </row>
    <row r="13" spans="1:9" x14ac:dyDescent="0.35">
      <c r="A13" s="13"/>
      <c r="B13" s="30">
        <v>10</v>
      </c>
      <c r="C13" s="36"/>
      <c r="D13" s="7"/>
      <c r="E13" s="7"/>
      <c r="F13" s="86"/>
      <c r="G13" s="6"/>
      <c r="H13" s="6"/>
      <c r="I13" s="6"/>
    </row>
    <row r="14" spans="1:9" s="2" customFormat="1" x14ac:dyDescent="0.35">
      <c r="A14" s="13"/>
      <c r="B14" s="22"/>
      <c r="C14" s="22"/>
      <c r="D14" s="22"/>
      <c r="E14" s="22"/>
    </row>
    <row r="15" spans="1:9" x14ac:dyDescent="0.35">
      <c r="B15" s="35"/>
      <c r="C15"/>
    </row>
    <row r="16" spans="1:9" x14ac:dyDescent="0.35">
      <c r="B16" s="37" t="s">
        <v>46</v>
      </c>
      <c r="C16"/>
    </row>
    <row r="17" spans="2:3" x14ac:dyDescent="0.35">
      <c r="B17" s="38" t="s">
        <v>41</v>
      </c>
      <c r="C17"/>
    </row>
    <row r="18" spans="2:3" x14ac:dyDescent="0.35">
      <c r="B18" s="35"/>
      <c r="C18"/>
    </row>
  </sheetData>
  <dataValidations count="2">
    <dataValidation type="list" allowBlank="1" showInputMessage="1" showErrorMessage="1" sqref="H4:H13" xr:uid="{00000000-0002-0000-0900-000000000000}">
      <formula1>"WIP, Completed"</formula1>
    </dataValidation>
    <dataValidation type="list" allowBlank="1" showInputMessage="1" showErrorMessage="1" sqref="I4:I13" xr:uid="{00000000-0002-0000-0900-000001000000}">
      <formula1>"Week 1, Week 2, Week 3, Week 4,Week 5"</formula1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showGridLines="0" workbookViewId="0">
      <selection activeCell="C4" sqref="C4"/>
    </sheetView>
  </sheetViews>
  <sheetFormatPr defaultRowHeight="14.5" x14ac:dyDescent="0.35"/>
  <cols>
    <col min="1" max="1" width="9.26953125" bestFit="1" customWidth="1"/>
    <col min="2" max="2" width="6.81640625" customWidth="1"/>
    <col min="3" max="3" width="13.1796875" customWidth="1"/>
    <col min="4" max="4" width="30" customWidth="1"/>
    <col min="5" max="5" width="42" customWidth="1"/>
    <col min="6" max="6" width="21.453125" bestFit="1" customWidth="1"/>
    <col min="7" max="7" width="19.1796875" customWidth="1"/>
    <col min="8" max="8" width="17.81640625" customWidth="1"/>
  </cols>
  <sheetData>
    <row r="1" spans="1:9" x14ac:dyDescent="0.35">
      <c r="A1" s="12"/>
      <c r="B1" s="12"/>
      <c r="C1" s="12"/>
      <c r="D1" s="3"/>
      <c r="F1" s="12"/>
      <c r="G1" s="12"/>
    </row>
    <row r="2" spans="1:9" x14ac:dyDescent="0.35">
      <c r="A2" s="12"/>
      <c r="B2" s="12"/>
      <c r="C2" s="18"/>
      <c r="D2" s="12"/>
      <c r="E2" s="19"/>
      <c r="F2" s="12"/>
      <c r="G2" s="18"/>
    </row>
    <row r="3" spans="1:9" ht="26" x14ac:dyDescent="0.35">
      <c r="A3" s="12"/>
      <c r="B3" s="31" t="s">
        <v>23</v>
      </c>
      <c r="C3" s="31" t="s">
        <v>0</v>
      </c>
      <c r="D3" s="31" t="s">
        <v>27</v>
      </c>
      <c r="E3" s="31" t="s">
        <v>5</v>
      </c>
      <c r="F3" s="31" t="s">
        <v>30</v>
      </c>
      <c r="G3" s="31" t="s">
        <v>2</v>
      </c>
      <c r="H3" s="31" t="s">
        <v>29</v>
      </c>
      <c r="I3" s="31" t="s">
        <v>43</v>
      </c>
    </row>
    <row r="4" spans="1:9" x14ac:dyDescent="0.35">
      <c r="A4" s="12"/>
      <c r="B4" s="29">
        <v>1</v>
      </c>
      <c r="C4" s="32"/>
      <c r="D4" s="5"/>
      <c r="E4" s="5"/>
      <c r="F4" s="6"/>
      <c r="G4" s="6"/>
      <c r="H4" s="6"/>
      <c r="I4" s="6"/>
    </row>
    <row r="5" spans="1:9" x14ac:dyDescent="0.35">
      <c r="A5" s="12"/>
      <c r="B5" s="29">
        <v>2</v>
      </c>
      <c r="C5" s="32"/>
      <c r="D5" s="8"/>
      <c r="E5" s="8"/>
      <c r="F5" s="64"/>
      <c r="G5" s="65"/>
      <c r="H5" s="6"/>
      <c r="I5" s="6"/>
    </row>
    <row r="6" spans="1:9" x14ac:dyDescent="0.35">
      <c r="A6" s="12"/>
      <c r="B6" s="29">
        <v>3</v>
      </c>
      <c r="C6" s="32"/>
      <c r="D6" s="7"/>
      <c r="E6" s="7"/>
      <c r="F6" s="9"/>
      <c r="G6" s="6"/>
      <c r="H6" s="6"/>
      <c r="I6" s="6"/>
    </row>
    <row r="7" spans="1:9" x14ac:dyDescent="0.35">
      <c r="A7" s="12"/>
      <c r="B7" s="29">
        <v>4</v>
      </c>
      <c r="C7" s="32"/>
      <c r="D7" s="7"/>
      <c r="E7" s="7"/>
      <c r="F7" s="9"/>
      <c r="G7" s="6"/>
      <c r="H7" s="6"/>
      <c r="I7" s="6"/>
    </row>
    <row r="8" spans="1:9" x14ac:dyDescent="0.35">
      <c r="A8" s="12"/>
      <c r="B8" s="29">
        <v>5</v>
      </c>
      <c r="C8" s="32"/>
      <c r="D8" s="7"/>
      <c r="E8" s="7"/>
      <c r="F8" s="64"/>
      <c r="G8" s="6"/>
      <c r="H8" s="6"/>
      <c r="I8" s="6"/>
    </row>
    <row r="9" spans="1:9" x14ac:dyDescent="0.35">
      <c r="A9" s="12"/>
      <c r="B9" s="29">
        <v>6</v>
      </c>
      <c r="C9" s="32"/>
      <c r="D9" s="8"/>
      <c r="E9" s="8"/>
      <c r="F9" s="9"/>
      <c r="G9" s="6"/>
      <c r="H9" s="6"/>
      <c r="I9" s="6"/>
    </row>
    <row r="10" spans="1:9" x14ac:dyDescent="0.35">
      <c r="A10" s="12"/>
      <c r="B10" s="29">
        <v>7</v>
      </c>
      <c r="C10" s="32"/>
      <c r="D10" s="10"/>
      <c r="E10" s="10"/>
      <c r="F10" s="9"/>
      <c r="G10" s="6"/>
      <c r="H10" s="6"/>
      <c r="I10" s="6"/>
    </row>
    <row r="11" spans="1:9" x14ac:dyDescent="0.35">
      <c r="A11" s="12"/>
      <c r="B11" s="29">
        <v>8</v>
      </c>
      <c r="C11" s="32"/>
      <c r="D11" s="8"/>
      <c r="E11" s="8"/>
      <c r="F11" s="9"/>
      <c r="G11" s="6"/>
      <c r="H11" s="6"/>
      <c r="I11" s="6"/>
    </row>
    <row r="12" spans="1:9" x14ac:dyDescent="0.35">
      <c r="A12" s="12"/>
      <c r="B12" s="29">
        <v>9</v>
      </c>
      <c r="C12" s="32"/>
      <c r="D12" s="7"/>
      <c r="E12" s="7"/>
      <c r="F12" s="9"/>
      <c r="G12" s="6"/>
      <c r="H12" s="6"/>
      <c r="I12" s="6"/>
    </row>
    <row r="13" spans="1:9" x14ac:dyDescent="0.35">
      <c r="A13" s="12"/>
      <c r="B13" s="29">
        <v>10</v>
      </c>
      <c r="C13" s="32"/>
      <c r="D13" s="7"/>
      <c r="E13" s="7"/>
      <c r="F13" s="9"/>
      <c r="G13" s="6"/>
      <c r="H13" s="6"/>
      <c r="I13" s="6"/>
    </row>
    <row r="14" spans="1:9" x14ac:dyDescent="0.35">
      <c r="A14" s="12"/>
      <c r="B14" s="12"/>
      <c r="C14" s="12"/>
      <c r="D14" s="12"/>
      <c r="E14" s="19"/>
      <c r="F14" s="12"/>
      <c r="G14" s="12"/>
    </row>
    <row r="15" spans="1:9" x14ac:dyDescent="0.35">
      <c r="B15" s="35"/>
      <c r="E15" s="19"/>
      <c r="F15" s="12"/>
      <c r="G15" s="12"/>
    </row>
    <row r="16" spans="1:9" x14ac:dyDescent="0.35">
      <c r="B16" s="37" t="s">
        <v>46</v>
      </c>
      <c r="E16" s="19"/>
      <c r="F16" s="12"/>
      <c r="G16" s="12"/>
    </row>
    <row r="17" spans="1:9" x14ac:dyDescent="0.35">
      <c r="B17" s="38" t="s">
        <v>41</v>
      </c>
      <c r="E17" s="19"/>
      <c r="F17" s="12"/>
      <c r="G17" s="13"/>
    </row>
    <row r="18" spans="1:9" x14ac:dyDescent="0.35">
      <c r="B18" s="38" t="s">
        <v>44</v>
      </c>
      <c r="E18" s="19"/>
      <c r="F18" s="20"/>
      <c r="G18" s="20"/>
    </row>
    <row r="19" spans="1:9" x14ac:dyDescent="0.35">
      <c r="A19" s="12"/>
      <c r="B19" s="12"/>
      <c r="C19" s="20"/>
      <c r="D19" s="12"/>
      <c r="E19" s="19"/>
      <c r="F19" s="20"/>
      <c r="G19" s="20"/>
    </row>
    <row r="20" spans="1:9" x14ac:dyDescent="0.35">
      <c r="A20" s="12"/>
      <c r="B20" s="12"/>
      <c r="C20" s="20"/>
      <c r="D20" s="12"/>
      <c r="E20" s="19"/>
      <c r="F20" s="20"/>
      <c r="G20" s="20"/>
      <c r="H20" s="12"/>
      <c r="I20" s="11"/>
    </row>
  </sheetData>
  <dataValidations count="2">
    <dataValidation type="list" allowBlank="1" showInputMessage="1" showErrorMessage="1" sqref="H4:H13" xr:uid="{00000000-0002-0000-0A00-000000000000}">
      <formula1>"WIP, Completed"</formula1>
    </dataValidation>
    <dataValidation type="list" allowBlank="1" showInputMessage="1" showErrorMessage="1" sqref="I4:I13" xr:uid="{00000000-0002-0000-0A00-000001000000}">
      <formula1>"Week 1, Week 2, Week 3, Week 4,Week 5"</formula1>
    </dataValidation>
  </dataValidation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:K25"/>
  <sheetViews>
    <sheetView showGridLines="0" workbookViewId="0">
      <selection activeCell="I5" sqref="I5"/>
    </sheetView>
  </sheetViews>
  <sheetFormatPr defaultColWidth="8.7265625" defaultRowHeight="14.5" x14ac:dyDescent="0.35"/>
  <cols>
    <col min="1" max="1" width="8.7265625" style="40"/>
    <col min="2" max="2" width="6" style="42" customWidth="1"/>
    <col min="3" max="3" width="13.26953125" style="40" customWidth="1"/>
    <col min="4" max="4" width="50.7265625" style="40" customWidth="1"/>
    <col min="5" max="5" width="13.7265625" style="40" customWidth="1"/>
    <col min="6" max="6" width="15.1796875" style="40" customWidth="1"/>
    <col min="7" max="8" width="17.453125" style="40" bestFit="1" customWidth="1"/>
    <col min="9" max="10" width="8.7265625" style="40"/>
    <col min="11" max="11" width="24.1796875" style="40" customWidth="1"/>
    <col min="12" max="16384" width="8.7265625" style="40"/>
  </cols>
  <sheetData>
    <row r="3" spans="2:11" s="4" customFormat="1" ht="27" customHeight="1" x14ac:dyDescent="0.35">
      <c r="B3" s="31" t="s">
        <v>23</v>
      </c>
      <c r="C3" s="31" t="s">
        <v>0</v>
      </c>
      <c r="D3" s="31" t="s">
        <v>7</v>
      </c>
      <c r="E3" s="31" t="s">
        <v>31</v>
      </c>
      <c r="F3" s="31"/>
      <c r="G3" s="31" t="s">
        <v>2</v>
      </c>
      <c r="H3" s="31" t="s">
        <v>29</v>
      </c>
      <c r="I3" s="31" t="s">
        <v>43</v>
      </c>
    </row>
    <row r="4" spans="2:11" x14ac:dyDescent="0.35">
      <c r="B4" s="29">
        <v>1</v>
      </c>
      <c r="C4" s="44"/>
      <c r="D4" s="5"/>
      <c r="E4" s="5"/>
      <c r="F4" s="83"/>
      <c r="G4" s="5"/>
      <c r="H4" s="39"/>
      <c r="I4" s="6"/>
      <c r="J4" s="4"/>
      <c r="K4"/>
    </row>
    <row r="5" spans="2:11" ht="29" x14ac:dyDescent="0.35">
      <c r="B5" s="30">
        <v>2</v>
      </c>
      <c r="C5" s="45"/>
      <c r="D5" s="8"/>
      <c r="E5" s="8"/>
      <c r="F5" s="84"/>
      <c r="G5" s="8"/>
      <c r="H5" s="39"/>
      <c r="I5" s="6"/>
      <c r="J5" s="4"/>
      <c r="K5" s="79" t="s">
        <v>46</v>
      </c>
    </row>
    <row r="6" spans="2:11" ht="29" x14ac:dyDescent="0.35">
      <c r="B6" s="30">
        <v>3</v>
      </c>
      <c r="C6" s="45"/>
      <c r="D6" s="8"/>
      <c r="E6" s="8"/>
      <c r="F6" s="84"/>
      <c r="G6" s="8"/>
      <c r="H6" s="39"/>
      <c r="I6" s="6"/>
      <c r="J6" s="4"/>
      <c r="K6" s="80" t="s">
        <v>41</v>
      </c>
    </row>
    <row r="7" spans="2:11" x14ac:dyDescent="0.35">
      <c r="B7" s="30">
        <v>4</v>
      </c>
      <c r="C7" s="45"/>
      <c r="D7" s="10"/>
      <c r="E7" s="10"/>
      <c r="F7" s="85"/>
      <c r="G7" s="10"/>
      <c r="H7" s="39"/>
      <c r="I7" s="6"/>
      <c r="J7" s="4"/>
      <c r="K7"/>
    </row>
    <row r="8" spans="2:11" x14ac:dyDescent="0.35">
      <c r="B8" s="30">
        <v>5</v>
      </c>
      <c r="C8" s="45"/>
      <c r="D8" s="7"/>
      <c r="E8" s="7"/>
      <c r="F8" s="86"/>
      <c r="G8" s="7"/>
      <c r="H8" s="39"/>
      <c r="I8" s="6"/>
      <c r="J8" s="4"/>
      <c r="K8"/>
    </row>
    <row r="9" spans="2:11" x14ac:dyDescent="0.35">
      <c r="B9" s="30">
        <v>6</v>
      </c>
      <c r="C9" s="45"/>
      <c r="D9" s="8"/>
      <c r="E9" s="8"/>
      <c r="F9" s="84"/>
      <c r="G9" s="8"/>
      <c r="H9" s="39"/>
      <c r="I9" s="6"/>
      <c r="J9" s="4"/>
    </row>
    <row r="10" spans="2:11" x14ac:dyDescent="0.35">
      <c r="B10" s="30">
        <v>7</v>
      </c>
      <c r="C10" s="45"/>
      <c r="D10" s="7"/>
      <c r="E10" s="7"/>
      <c r="F10" s="86"/>
      <c r="G10" s="7"/>
      <c r="H10" s="39"/>
      <c r="I10" s="6"/>
      <c r="J10" s="4"/>
    </row>
    <row r="11" spans="2:11" x14ac:dyDescent="0.35">
      <c r="B11" s="30">
        <v>8</v>
      </c>
      <c r="C11" s="45"/>
      <c r="D11" s="7"/>
      <c r="E11" s="7"/>
      <c r="F11" s="86"/>
      <c r="G11" s="7"/>
      <c r="H11" s="39"/>
      <c r="I11" s="6"/>
      <c r="J11" s="4"/>
    </row>
    <row r="12" spans="2:11" x14ac:dyDescent="0.35">
      <c r="B12" s="30">
        <v>9</v>
      </c>
      <c r="C12" s="45"/>
      <c r="D12" s="7"/>
      <c r="E12" s="7"/>
      <c r="F12" s="86"/>
      <c r="G12" s="7"/>
      <c r="H12" s="39"/>
      <c r="I12" s="6"/>
      <c r="J12" s="4"/>
    </row>
    <row r="13" spans="2:11" x14ac:dyDescent="0.35">
      <c r="B13" s="30">
        <v>10</v>
      </c>
      <c r="C13" s="45"/>
      <c r="D13" s="7"/>
      <c r="E13" s="7"/>
      <c r="F13" s="86"/>
      <c r="G13" s="7"/>
      <c r="H13" s="39"/>
      <c r="I13" s="6"/>
      <c r="J13" s="4"/>
    </row>
    <row r="14" spans="2:11" x14ac:dyDescent="0.35">
      <c r="J14" s="4"/>
    </row>
    <row r="15" spans="2:11" x14ac:dyDescent="0.35">
      <c r="B15" s="37"/>
      <c r="G15" s="46"/>
    </row>
    <row r="21" spans="6:6" x14ac:dyDescent="0.35">
      <c r="F21" s="43"/>
    </row>
    <row r="22" spans="6:6" x14ac:dyDescent="0.35">
      <c r="F22" s="43"/>
    </row>
    <row r="23" spans="6:6" x14ac:dyDescent="0.35">
      <c r="F23" s="43"/>
    </row>
    <row r="24" spans="6:6" x14ac:dyDescent="0.35">
      <c r="F24" s="43"/>
    </row>
    <row r="25" spans="6:6" x14ac:dyDescent="0.35">
      <c r="F25" s="43"/>
    </row>
  </sheetData>
  <dataValidations count="3">
    <dataValidation type="list" allowBlank="1" showInputMessage="1" showErrorMessage="1" sqref="H5:H13" xr:uid="{00000000-0002-0000-0B00-000000000000}">
      <formula1>"WIP, Completed"</formula1>
    </dataValidation>
    <dataValidation type="list" allowBlank="1" showInputMessage="1" showErrorMessage="1" sqref="H4" xr:uid="{00000000-0002-0000-0B00-000001000000}">
      <formula1>"Completed, Rescheduled, WIP, Cancelled"</formula1>
    </dataValidation>
    <dataValidation type="list" allowBlank="1" showInputMessage="1" showErrorMessage="1" sqref="I4:I13" xr:uid="{00000000-0002-0000-0B00-000002000000}">
      <formula1>"Week 1, Week 2, Week 3, Week 4,Week 5"</formula1>
    </dataValidation>
  </dataValidation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K16"/>
  <sheetViews>
    <sheetView showGridLines="0" workbookViewId="0">
      <selection activeCell="D9" sqref="D9"/>
    </sheetView>
  </sheetViews>
  <sheetFormatPr defaultColWidth="9.1796875" defaultRowHeight="14.5" x14ac:dyDescent="0.35"/>
  <cols>
    <col min="1" max="1" width="9.81640625" style="48" customWidth="1"/>
    <col min="2" max="2" width="7.1796875" style="49" customWidth="1"/>
    <col min="3" max="3" width="12" style="49" customWidth="1"/>
    <col min="4" max="4" width="34.54296875" style="48" customWidth="1"/>
    <col min="5" max="5" width="26.54296875" style="48" customWidth="1"/>
    <col min="6" max="6" width="22.453125" style="48" customWidth="1"/>
    <col min="7" max="7" width="20.26953125" style="48" customWidth="1"/>
    <col min="8" max="8" width="17.453125" style="48" bestFit="1" customWidth="1"/>
    <col min="9" max="9" width="9.1796875" style="48"/>
    <col min="10" max="10" width="6.26953125" style="48" customWidth="1"/>
    <col min="11" max="11" width="19.7265625" style="48" customWidth="1"/>
    <col min="12" max="16384" width="9.1796875" style="48"/>
  </cols>
  <sheetData>
    <row r="2" spans="1:11" x14ac:dyDescent="0.35">
      <c r="A2" s="12"/>
      <c r="B2" s="47"/>
      <c r="C2" s="47"/>
      <c r="D2" s="14"/>
      <c r="E2" s="14"/>
      <c r="G2" s="14"/>
    </row>
    <row r="3" spans="1:11" ht="27.75" customHeight="1" x14ac:dyDescent="0.35">
      <c r="A3" s="12"/>
      <c r="B3" s="31" t="s">
        <v>23</v>
      </c>
      <c r="C3" s="31" t="s">
        <v>0</v>
      </c>
      <c r="D3" s="31" t="s">
        <v>8</v>
      </c>
      <c r="E3" s="31" t="s">
        <v>45</v>
      </c>
      <c r="F3" s="31" t="s">
        <v>1</v>
      </c>
      <c r="G3" s="31" t="s">
        <v>2</v>
      </c>
      <c r="H3" s="31" t="s">
        <v>29</v>
      </c>
      <c r="I3" s="31" t="s">
        <v>43</v>
      </c>
    </row>
    <row r="4" spans="1:11" ht="26" x14ac:dyDescent="0.35">
      <c r="A4" s="12"/>
      <c r="B4" s="29">
        <v>1</v>
      </c>
      <c r="C4" s="51" t="s">
        <v>50</v>
      </c>
      <c r="D4" s="5" t="s">
        <v>61</v>
      </c>
      <c r="E4" s="39" t="s">
        <v>51</v>
      </c>
      <c r="F4" s="39" t="s">
        <v>52</v>
      </c>
      <c r="G4" s="5" t="s">
        <v>54</v>
      </c>
      <c r="H4" s="39" t="s">
        <v>53</v>
      </c>
      <c r="I4" s="6"/>
    </row>
    <row r="5" spans="1:11" x14ac:dyDescent="0.35">
      <c r="A5" s="12"/>
      <c r="B5" s="29">
        <v>2</v>
      </c>
      <c r="C5" s="51"/>
      <c r="D5" s="7"/>
      <c r="E5" s="39"/>
      <c r="F5" s="39"/>
      <c r="G5" s="7"/>
      <c r="H5" s="39"/>
      <c r="I5" s="6"/>
      <c r="J5"/>
      <c r="K5"/>
    </row>
    <row r="6" spans="1:11" ht="29" x14ac:dyDescent="0.35">
      <c r="A6" s="12"/>
      <c r="B6" s="29">
        <v>3</v>
      </c>
      <c r="C6" s="51"/>
      <c r="D6" s="10"/>
      <c r="E6" s="39"/>
      <c r="F6" s="39"/>
      <c r="G6" s="10"/>
      <c r="H6" s="39"/>
      <c r="I6" s="6"/>
      <c r="J6"/>
      <c r="K6" s="79" t="s">
        <v>46</v>
      </c>
    </row>
    <row r="7" spans="1:11" ht="29" x14ac:dyDescent="0.35">
      <c r="A7" s="12"/>
      <c r="B7" s="29">
        <v>4</v>
      </c>
      <c r="C7" s="51"/>
      <c r="D7" s="7"/>
      <c r="E7" s="39"/>
      <c r="F7" s="39"/>
      <c r="G7" s="7"/>
      <c r="H7" s="39"/>
      <c r="I7" s="6"/>
      <c r="J7"/>
      <c r="K7" s="80" t="s">
        <v>41</v>
      </c>
    </row>
    <row r="8" spans="1:11" x14ac:dyDescent="0.35">
      <c r="A8" s="12"/>
      <c r="B8" s="29">
        <v>5</v>
      </c>
      <c r="C8" s="51"/>
      <c r="D8" s="8"/>
      <c r="E8" s="39"/>
      <c r="F8" s="39"/>
      <c r="G8" s="8"/>
      <c r="H8" s="39"/>
      <c r="I8" s="6"/>
      <c r="J8"/>
      <c r="K8"/>
    </row>
    <row r="9" spans="1:11" x14ac:dyDescent="0.35">
      <c r="A9" s="12"/>
      <c r="B9" s="29">
        <v>6</v>
      </c>
      <c r="C9" s="51"/>
      <c r="D9" s="8"/>
      <c r="E9" s="39"/>
      <c r="F9" s="39"/>
      <c r="G9" s="8"/>
      <c r="H9" s="39"/>
      <c r="I9" s="6"/>
      <c r="J9"/>
      <c r="K9"/>
    </row>
    <row r="10" spans="1:11" x14ac:dyDescent="0.35">
      <c r="A10" s="12"/>
      <c r="B10" s="29">
        <v>7</v>
      </c>
      <c r="C10" s="51"/>
      <c r="D10" s="7"/>
      <c r="E10" s="39"/>
      <c r="F10" s="39"/>
      <c r="G10" s="7"/>
      <c r="H10" s="39"/>
      <c r="I10" s="6"/>
    </row>
    <row r="11" spans="1:11" x14ac:dyDescent="0.35">
      <c r="A11" s="12"/>
      <c r="B11" s="29">
        <v>8</v>
      </c>
      <c r="C11" s="51"/>
      <c r="D11" s="8"/>
      <c r="E11" s="39"/>
      <c r="F11" s="39"/>
      <c r="G11" s="8"/>
      <c r="H11" s="39"/>
      <c r="I11" s="6"/>
    </row>
    <row r="12" spans="1:11" x14ac:dyDescent="0.35">
      <c r="A12" s="12"/>
      <c r="B12" s="29">
        <v>9</v>
      </c>
      <c r="C12" s="51"/>
      <c r="D12" s="7"/>
      <c r="E12" s="39"/>
      <c r="F12" s="39"/>
      <c r="G12" s="7"/>
      <c r="H12" s="39"/>
      <c r="I12" s="6"/>
    </row>
    <row r="13" spans="1:11" x14ac:dyDescent="0.35">
      <c r="A13" s="12"/>
      <c r="B13" s="29">
        <v>10</v>
      </c>
      <c r="C13" s="51"/>
      <c r="D13" s="7"/>
      <c r="E13" s="39"/>
      <c r="F13" s="39"/>
      <c r="G13" s="7"/>
      <c r="H13" s="39"/>
      <c r="I13" s="6"/>
    </row>
    <row r="14" spans="1:11" x14ac:dyDescent="0.35">
      <c r="B14" s="29">
        <v>11</v>
      </c>
      <c r="C14" s="51"/>
      <c r="D14" s="7"/>
      <c r="E14" s="39"/>
      <c r="F14" s="7"/>
      <c r="G14" s="7"/>
      <c r="H14" s="39"/>
      <c r="I14" s="6"/>
    </row>
    <row r="15" spans="1:11" x14ac:dyDescent="0.35">
      <c r="B15" s="29">
        <v>12</v>
      </c>
      <c r="C15" s="51"/>
      <c r="D15" s="7"/>
      <c r="E15" s="39"/>
      <c r="F15" s="7"/>
      <c r="G15" s="7"/>
      <c r="H15" s="7"/>
      <c r="I15" s="6"/>
    </row>
    <row r="16" spans="1:11" x14ac:dyDescent="0.35">
      <c r="B16" s="29">
        <v>13</v>
      </c>
      <c r="C16" s="50"/>
      <c r="D16" s="7"/>
      <c r="E16" s="39"/>
      <c r="F16" s="7"/>
      <c r="G16" s="7"/>
      <c r="H16" s="7"/>
      <c r="I16" s="6"/>
    </row>
  </sheetData>
  <dataValidations count="3">
    <dataValidation type="list" allowBlank="1" showInputMessage="1" showErrorMessage="1" sqref="H4:H16" xr:uid="{00000000-0002-0000-0C00-000000000000}">
      <formula1>"WIP, Completed"</formula1>
    </dataValidation>
    <dataValidation type="list" allowBlank="1" showInputMessage="1" showErrorMessage="1" sqref="I4:I16" xr:uid="{00000000-0002-0000-0C00-000001000000}">
      <formula1>"Week 1, Week 2, Week 3, Week 4,Week 5"</formula1>
    </dataValidation>
    <dataValidation type="list" allowBlank="1" showInputMessage="1" showErrorMessage="1" sqref="E4:E16" xr:uid="{00000000-0002-0000-0C00-000002000000}">
      <formula1>"Demos Developed, In-house Technology Demos, Partner Demos"</formula1>
    </dataValidation>
  </dataValidation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30"/>
  <sheetViews>
    <sheetView showGridLines="0" workbookViewId="0">
      <selection activeCell="G7" sqref="G7"/>
    </sheetView>
  </sheetViews>
  <sheetFormatPr defaultRowHeight="14.5" x14ac:dyDescent="0.35"/>
  <cols>
    <col min="2" max="2" width="6.26953125" style="35" customWidth="1"/>
    <col min="3" max="3" width="11.7265625" customWidth="1"/>
    <col min="4" max="4" width="30.453125" customWidth="1"/>
    <col min="5" max="5" width="46.54296875" customWidth="1"/>
    <col min="6" max="6" width="16.54296875" customWidth="1"/>
    <col min="7" max="7" width="15.54296875" customWidth="1"/>
    <col min="8" max="8" width="17.453125" bestFit="1" customWidth="1"/>
    <col min="10" max="10" width="1.54296875" customWidth="1"/>
    <col min="11" max="11" width="22.453125" customWidth="1"/>
  </cols>
  <sheetData>
    <row r="1" spans="1:11" x14ac:dyDescent="0.35">
      <c r="A1" s="12"/>
      <c r="B1" s="52"/>
      <c r="C1" s="12"/>
      <c r="D1" s="12"/>
      <c r="E1" s="12"/>
      <c r="F1" s="12"/>
      <c r="G1" s="12"/>
    </row>
    <row r="2" spans="1:11" x14ac:dyDescent="0.35">
      <c r="A2" s="12"/>
      <c r="B2" s="52"/>
      <c r="C2" s="12"/>
      <c r="D2" s="12"/>
      <c r="E2" s="13"/>
      <c r="F2" s="12"/>
      <c r="G2" s="12"/>
    </row>
    <row r="3" spans="1:11" ht="30.75" customHeight="1" x14ac:dyDescent="0.35">
      <c r="A3" s="12"/>
      <c r="B3" s="31" t="s">
        <v>23</v>
      </c>
      <c r="C3" s="31" t="s">
        <v>0</v>
      </c>
      <c r="D3" s="31" t="s">
        <v>9</v>
      </c>
      <c r="E3" s="31" t="s">
        <v>5</v>
      </c>
      <c r="F3" s="31" t="s">
        <v>6</v>
      </c>
      <c r="G3" s="31" t="s">
        <v>4</v>
      </c>
      <c r="H3" s="31" t="s">
        <v>29</v>
      </c>
      <c r="I3" s="31" t="s">
        <v>43</v>
      </c>
    </row>
    <row r="4" spans="1:11" ht="39" x14ac:dyDescent="0.35">
      <c r="A4" s="12"/>
      <c r="B4" s="29">
        <v>1</v>
      </c>
      <c r="C4" s="50" t="s">
        <v>55</v>
      </c>
      <c r="D4" s="87" t="s">
        <v>56</v>
      </c>
      <c r="E4" s="87" t="s">
        <v>57</v>
      </c>
      <c r="F4" s="32" t="s">
        <v>58</v>
      </c>
      <c r="G4" s="77" t="s">
        <v>59</v>
      </c>
      <c r="H4" s="6" t="s">
        <v>60</v>
      </c>
      <c r="I4" s="6"/>
    </row>
    <row r="5" spans="1:11" ht="29" x14ac:dyDescent="0.35">
      <c r="A5" s="12"/>
      <c r="B5" s="29">
        <v>2</v>
      </c>
      <c r="C5" s="51"/>
      <c r="D5" s="7"/>
      <c r="E5" s="6"/>
      <c r="F5" s="9"/>
      <c r="G5" s="7"/>
      <c r="H5" s="6"/>
      <c r="I5" s="6"/>
      <c r="K5" s="79" t="s">
        <v>46</v>
      </c>
    </row>
    <row r="6" spans="1:11" ht="29" x14ac:dyDescent="0.35">
      <c r="A6" s="12"/>
      <c r="B6" s="29">
        <v>3</v>
      </c>
      <c r="C6" s="51"/>
      <c r="D6" s="8"/>
      <c r="E6" s="6"/>
      <c r="F6" s="9"/>
      <c r="G6" s="8"/>
      <c r="H6" s="6"/>
      <c r="I6" s="6"/>
      <c r="K6" s="80" t="s">
        <v>41</v>
      </c>
    </row>
    <row r="7" spans="1:11" x14ac:dyDescent="0.35">
      <c r="A7" s="12"/>
      <c r="B7" s="29">
        <v>4</v>
      </c>
      <c r="C7" s="51"/>
      <c r="D7" s="7"/>
      <c r="E7" s="6"/>
      <c r="F7" s="9"/>
      <c r="G7" s="45"/>
      <c r="H7" s="6"/>
      <c r="I7" s="6"/>
    </row>
    <row r="8" spans="1:11" x14ac:dyDescent="0.35">
      <c r="A8" s="12"/>
      <c r="B8" s="29">
        <v>5</v>
      </c>
      <c r="C8" s="51"/>
      <c r="D8" s="8"/>
      <c r="E8" s="6"/>
      <c r="F8" s="9"/>
      <c r="G8" s="8"/>
      <c r="H8" s="6"/>
      <c r="I8" s="6"/>
    </row>
    <row r="9" spans="1:11" x14ac:dyDescent="0.35">
      <c r="A9" s="12"/>
      <c r="B9" s="29">
        <v>6</v>
      </c>
      <c r="C9" s="51"/>
      <c r="D9" s="8"/>
      <c r="E9" s="65"/>
      <c r="F9" s="9"/>
      <c r="G9" s="8"/>
      <c r="H9" s="6"/>
      <c r="I9" s="6"/>
    </row>
    <row r="10" spans="1:11" x14ac:dyDescent="0.35">
      <c r="A10" s="12"/>
      <c r="B10" s="29">
        <v>7</v>
      </c>
      <c r="C10" s="51"/>
      <c r="D10" s="7"/>
      <c r="E10" s="6"/>
      <c r="F10" s="9"/>
      <c r="G10" s="7"/>
      <c r="H10" s="6"/>
      <c r="I10" s="6"/>
    </row>
    <row r="11" spans="1:11" x14ac:dyDescent="0.35">
      <c r="A11" s="12"/>
      <c r="B11" s="29">
        <v>8</v>
      </c>
      <c r="C11" s="51"/>
      <c r="D11" s="7"/>
      <c r="E11" s="6"/>
      <c r="F11" s="9"/>
      <c r="G11" s="7"/>
      <c r="H11" s="6"/>
      <c r="I11" s="6"/>
    </row>
    <row r="12" spans="1:11" x14ac:dyDescent="0.35">
      <c r="A12" s="12"/>
      <c r="B12" s="29">
        <v>9</v>
      </c>
      <c r="C12" s="51"/>
      <c r="D12" s="7"/>
      <c r="E12" s="6"/>
      <c r="F12" s="9"/>
      <c r="G12" s="7"/>
      <c r="H12" s="6"/>
      <c r="I12" s="6"/>
    </row>
    <row r="13" spans="1:11" x14ac:dyDescent="0.35">
      <c r="A13" s="12"/>
      <c r="B13" s="29">
        <v>10</v>
      </c>
      <c r="C13" s="51"/>
      <c r="D13" s="7"/>
      <c r="E13" s="6"/>
      <c r="F13" s="9"/>
      <c r="G13" s="7"/>
      <c r="H13" s="6"/>
      <c r="I13" s="6"/>
    </row>
    <row r="14" spans="1:11" x14ac:dyDescent="0.35">
      <c r="A14" s="12"/>
      <c r="B14" s="33"/>
      <c r="C14" s="13"/>
      <c r="D14" s="13"/>
      <c r="E14" s="13"/>
      <c r="F14" s="13"/>
      <c r="G14" s="13"/>
    </row>
    <row r="15" spans="1:11" x14ac:dyDescent="0.35">
      <c r="A15" s="12"/>
      <c r="B15" s="53"/>
      <c r="C15" s="37"/>
      <c r="D15" s="13"/>
      <c r="E15" s="13"/>
      <c r="F15" s="13"/>
      <c r="G15" s="13"/>
    </row>
    <row r="16" spans="1:11" x14ac:dyDescent="0.35">
      <c r="A16" s="12"/>
      <c r="B16" s="33"/>
      <c r="C16" s="13"/>
      <c r="D16" s="13"/>
      <c r="E16" s="13"/>
      <c r="F16" s="13"/>
      <c r="G16" s="13"/>
    </row>
    <row r="17" spans="1:7" x14ac:dyDescent="0.35">
      <c r="A17" s="12"/>
      <c r="B17" s="33"/>
      <c r="C17" s="13"/>
      <c r="D17" s="13"/>
      <c r="E17" s="13"/>
      <c r="F17" s="13"/>
      <c r="G17" s="13"/>
    </row>
    <row r="18" spans="1:7" x14ac:dyDescent="0.35">
      <c r="A18" s="12"/>
      <c r="B18" s="33"/>
      <c r="C18" s="13"/>
      <c r="D18" s="13"/>
      <c r="E18" s="13"/>
      <c r="F18" s="13"/>
      <c r="G18" s="13"/>
    </row>
    <row r="19" spans="1:7" x14ac:dyDescent="0.35">
      <c r="A19" s="12"/>
      <c r="B19" s="33"/>
      <c r="C19" s="13"/>
      <c r="D19" s="13"/>
      <c r="E19" s="13"/>
      <c r="F19" s="13"/>
      <c r="G19" s="13"/>
    </row>
    <row r="20" spans="1:7" x14ac:dyDescent="0.35">
      <c r="A20" s="12"/>
      <c r="B20" s="33"/>
      <c r="C20" s="13"/>
      <c r="D20" s="13"/>
      <c r="E20" s="13"/>
      <c r="F20" s="13"/>
      <c r="G20" s="13"/>
    </row>
    <row r="21" spans="1:7" x14ac:dyDescent="0.35">
      <c r="A21" s="12"/>
      <c r="B21" s="33"/>
      <c r="C21" s="13"/>
      <c r="D21" s="13"/>
      <c r="E21" s="13"/>
      <c r="F21" s="13"/>
      <c r="G21" s="13"/>
    </row>
    <row r="22" spans="1:7" x14ac:dyDescent="0.35">
      <c r="A22" s="12"/>
      <c r="B22" s="33"/>
      <c r="C22" s="13"/>
      <c r="D22" s="13"/>
      <c r="E22" s="13"/>
      <c r="F22" s="13"/>
      <c r="G22" s="13"/>
    </row>
    <row r="23" spans="1:7" x14ac:dyDescent="0.35">
      <c r="A23" s="12"/>
      <c r="B23" s="33"/>
      <c r="C23" s="13"/>
      <c r="D23" s="13"/>
      <c r="E23" s="13"/>
      <c r="F23" s="13"/>
      <c r="G23" s="13"/>
    </row>
    <row r="24" spans="1:7" x14ac:dyDescent="0.35">
      <c r="A24" s="12"/>
      <c r="B24" s="33"/>
      <c r="C24" s="13"/>
      <c r="D24" s="13"/>
      <c r="E24" s="13"/>
      <c r="F24" s="13"/>
      <c r="G24" s="13"/>
    </row>
    <row r="25" spans="1:7" x14ac:dyDescent="0.35">
      <c r="A25" s="12"/>
      <c r="B25" s="33"/>
      <c r="C25" s="13"/>
      <c r="D25" s="13"/>
      <c r="E25" s="13"/>
      <c r="F25" s="13"/>
      <c r="G25" s="13"/>
    </row>
    <row r="26" spans="1:7" x14ac:dyDescent="0.35">
      <c r="A26" s="12"/>
      <c r="B26" s="33"/>
      <c r="C26" s="13"/>
      <c r="D26" s="13"/>
      <c r="E26" s="13"/>
      <c r="F26" s="13"/>
      <c r="G26" s="13"/>
    </row>
    <row r="27" spans="1:7" x14ac:dyDescent="0.35">
      <c r="A27" s="12"/>
      <c r="B27" s="33"/>
      <c r="C27" s="13"/>
      <c r="D27" s="13"/>
      <c r="E27" s="13"/>
      <c r="F27" s="13"/>
      <c r="G27" s="13"/>
    </row>
    <row r="28" spans="1:7" x14ac:dyDescent="0.35">
      <c r="A28" s="12"/>
      <c r="B28" s="33"/>
      <c r="C28" s="13"/>
      <c r="D28" s="13"/>
      <c r="E28" s="13"/>
      <c r="F28" s="13"/>
      <c r="G28" s="13"/>
    </row>
    <row r="29" spans="1:7" x14ac:dyDescent="0.35">
      <c r="A29" s="12"/>
      <c r="B29" s="33"/>
      <c r="C29" s="13"/>
      <c r="D29" s="13"/>
      <c r="E29" s="13"/>
      <c r="F29" s="13"/>
      <c r="G29" s="13"/>
    </row>
    <row r="30" spans="1:7" x14ac:dyDescent="0.35">
      <c r="A30" s="12"/>
      <c r="B30" s="33"/>
      <c r="C30" s="13"/>
      <c r="D30" s="13"/>
      <c r="E30" s="13"/>
      <c r="F30" s="13"/>
      <c r="G30" s="13"/>
    </row>
  </sheetData>
  <dataValidations count="2">
    <dataValidation type="list" allowBlank="1" showInputMessage="1" showErrorMessage="1" sqref="H4:H13" xr:uid="{00000000-0002-0000-0D00-000000000000}">
      <formula1>"WIP, Completed"</formula1>
    </dataValidation>
    <dataValidation type="list" allowBlank="1" showInputMessage="1" showErrorMessage="1" sqref="I4:I13" xr:uid="{00000000-0002-0000-0D00-000001000000}">
      <formula1>"Week 1, Week 2, Week 3, Week 4,Week 5"</formula1>
    </dataValidation>
  </dataValidation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J31"/>
  <sheetViews>
    <sheetView showGridLines="0" workbookViewId="0">
      <selection activeCell="E13" sqref="E13"/>
    </sheetView>
  </sheetViews>
  <sheetFormatPr defaultColWidth="24.453125" defaultRowHeight="14.5" x14ac:dyDescent="0.35"/>
  <cols>
    <col min="1" max="1" width="8.54296875" style="40" customWidth="1"/>
    <col min="2" max="2" width="6.54296875" style="40" customWidth="1"/>
    <col min="3" max="3" width="16.7265625" style="40" customWidth="1"/>
    <col min="4" max="4" width="39.453125" style="40" customWidth="1"/>
    <col min="5" max="5" width="42.81640625" style="40" customWidth="1"/>
    <col min="6" max="6" width="19.7265625" style="40" bestFit="1" customWidth="1"/>
    <col min="7" max="7" width="17.453125" style="40" customWidth="1"/>
    <col min="8" max="8" width="17.54296875" style="40" customWidth="1"/>
    <col min="9" max="16384" width="24.453125" style="40"/>
  </cols>
  <sheetData>
    <row r="2" spans="2:10" x14ac:dyDescent="0.35">
      <c r="B2" s="12"/>
      <c r="C2" s="12"/>
      <c r="D2" s="12"/>
      <c r="E2" s="12"/>
    </row>
    <row r="3" spans="2:10" ht="30.75" customHeight="1" x14ac:dyDescent="0.35">
      <c r="B3" s="31" t="s">
        <v>23</v>
      </c>
      <c r="C3" s="31" t="s">
        <v>0</v>
      </c>
      <c r="D3" s="31" t="s">
        <v>10</v>
      </c>
      <c r="E3" s="31" t="s">
        <v>5</v>
      </c>
      <c r="F3" s="31" t="s">
        <v>33</v>
      </c>
      <c r="G3" s="31" t="s">
        <v>2</v>
      </c>
      <c r="H3" s="31" t="s">
        <v>29</v>
      </c>
      <c r="I3" s="31" t="s">
        <v>43</v>
      </c>
    </row>
    <row r="4" spans="2:10" x14ac:dyDescent="0.35">
      <c r="B4" s="29">
        <v>1</v>
      </c>
      <c r="C4" s="51"/>
      <c r="D4" s="67"/>
      <c r="E4" s="67">
        <f xml:space="preserve"> (100000*4)/100</f>
        <v>4000</v>
      </c>
      <c r="F4" s="76">
        <v>2000</v>
      </c>
      <c r="G4" s="39"/>
      <c r="H4" s="39"/>
      <c r="I4" s="6"/>
      <c r="J4" s="54"/>
    </row>
    <row r="5" spans="2:10" x14ac:dyDescent="0.35">
      <c r="B5" s="29">
        <v>2</v>
      </c>
      <c r="C5" s="51"/>
      <c r="D5" s="7"/>
      <c r="E5" s="67">
        <f xml:space="preserve"> (900000*(4.5))/100</f>
        <v>40500</v>
      </c>
      <c r="F5" s="102">
        <v>13500</v>
      </c>
      <c r="G5" s="39"/>
      <c r="H5" s="39"/>
      <c r="I5" s="6"/>
      <c r="J5" s="56"/>
    </row>
    <row r="6" spans="2:10" x14ac:dyDescent="0.35">
      <c r="B6" s="29">
        <v>3</v>
      </c>
      <c r="C6" s="51"/>
      <c r="D6" s="8"/>
      <c r="E6" s="101">
        <f>(1000000*5)/100</f>
        <v>50000</v>
      </c>
      <c r="F6" s="102">
        <v>10000</v>
      </c>
      <c r="G6" s="39"/>
      <c r="H6" s="39"/>
      <c r="I6" s="6"/>
      <c r="J6" s="56"/>
    </row>
    <row r="7" spans="2:10" x14ac:dyDescent="0.35">
      <c r="B7" s="29">
        <v>4</v>
      </c>
      <c r="C7" s="51"/>
      <c r="D7" s="8"/>
      <c r="E7" s="63"/>
      <c r="F7" s="41"/>
      <c r="G7" s="39"/>
      <c r="H7" s="39"/>
      <c r="I7" s="6"/>
      <c r="J7" s="56"/>
    </row>
    <row r="8" spans="2:10" x14ac:dyDescent="0.35">
      <c r="B8" s="29">
        <v>5</v>
      </c>
      <c r="C8" s="51"/>
      <c r="D8" s="7"/>
      <c r="E8" s="7">
        <f>(SUM(E4:E6)/12)*2</f>
        <v>15750</v>
      </c>
      <c r="F8" s="73"/>
      <c r="G8" s="39"/>
      <c r="H8" s="39"/>
      <c r="I8" s="6"/>
      <c r="J8" s="56"/>
    </row>
    <row r="9" spans="2:10" x14ac:dyDescent="0.35">
      <c r="B9" s="29">
        <v>6</v>
      </c>
      <c r="C9" s="71"/>
      <c r="D9" s="8"/>
      <c r="E9" s="8">
        <f>120000 - E8</f>
        <v>104250</v>
      </c>
      <c r="F9" s="55">
        <f>SUM(F4:F6)</f>
        <v>25500</v>
      </c>
      <c r="G9" s="72"/>
      <c r="H9" s="39"/>
      <c r="I9" s="6"/>
      <c r="J9" s="56"/>
    </row>
    <row r="10" spans="2:10" x14ac:dyDescent="0.35">
      <c r="B10" s="29">
        <v>7</v>
      </c>
      <c r="C10" s="71"/>
      <c r="D10" s="7"/>
      <c r="E10" s="7"/>
      <c r="F10" s="55"/>
      <c r="G10" s="72"/>
      <c r="H10" s="39"/>
      <c r="I10" s="6"/>
      <c r="J10" s="56"/>
    </row>
    <row r="11" spans="2:10" x14ac:dyDescent="0.35">
      <c r="B11" s="29">
        <v>8</v>
      </c>
      <c r="C11" s="71"/>
      <c r="D11" s="7"/>
      <c r="E11" s="7"/>
      <c r="F11" s="55"/>
      <c r="G11" s="72"/>
      <c r="H11" s="39"/>
      <c r="I11" s="6"/>
      <c r="J11" s="56"/>
    </row>
    <row r="12" spans="2:10" x14ac:dyDescent="0.35">
      <c r="B12" s="29">
        <v>9</v>
      </c>
      <c r="C12" s="45"/>
      <c r="D12" s="7"/>
      <c r="E12" s="7"/>
      <c r="F12" s="55"/>
      <c r="G12" s="39"/>
      <c r="H12" s="39"/>
      <c r="I12" s="6"/>
      <c r="J12" s="56"/>
    </row>
    <row r="13" spans="2:10" x14ac:dyDescent="0.35">
      <c r="B13" s="29">
        <v>10</v>
      </c>
      <c r="C13" s="45"/>
      <c r="D13" s="7"/>
      <c r="E13" s="7"/>
      <c r="F13" s="55"/>
      <c r="G13" s="39"/>
      <c r="H13" s="39"/>
      <c r="I13" s="6"/>
      <c r="J13" s="56"/>
    </row>
    <row r="14" spans="2:10" x14ac:dyDescent="0.35">
      <c r="B14" s="16"/>
      <c r="C14" s="25"/>
      <c r="D14" s="25"/>
      <c r="E14" s="25"/>
      <c r="F14" s="56"/>
      <c r="G14" s="57"/>
      <c r="H14" s="57"/>
      <c r="I14" s="56"/>
      <c r="J14" s="56"/>
    </row>
    <row r="15" spans="2:10" x14ac:dyDescent="0.35">
      <c r="B15" s="16"/>
      <c r="C15" s="25"/>
      <c r="D15" s="25"/>
      <c r="E15" s="24"/>
    </row>
    <row r="16" spans="2:10" x14ac:dyDescent="0.35">
      <c r="B16" s="58" t="s">
        <v>46</v>
      </c>
      <c r="C16" s="23"/>
      <c r="D16" s="16"/>
      <c r="E16" s="24"/>
    </row>
    <row r="17" spans="2:5" x14ac:dyDescent="0.35">
      <c r="B17" s="69" t="s">
        <v>41</v>
      </c>
      <c r="C17" s="23"/>
      <c r="D17" s="16"/>
      <c r="E17" s="24"/>
    </row>
    <row r="18" spans="2:5" x14ac:dyDescent="0.35">
      <c r="B18" s="16"/>
      <c r="C18" s="23"/>
      <c r="D18" s="16"/>
      <c r="E18" s="24"/>
    </row>
    <row r="19" spans="2:5" x14ac:dyDescent="0.35">
      <c r="B19" s="16"/>
      <c r="C19" s="23"/>
      <c r="D19" s="16"/>
      <c r="E19" s="24"/>
    </row>
    <row r="20" spans="2:5" x14ac:dyDescent="0.35">
      <c r="B20" s="16">
        <v>1</v>
      </c>
      <c r="C20" s="23" t="s">
        <v>88</v>
      </c>
      <c r="D20" s="16"/>
      <c r="E20" s="24"/>
    </row>
    <row r="21" spans="2:5" x14ac:dyDescent="0.35">
      <c r="B21" s="16">
        <v>2</v>
      </c>
      <c r="C21" s="23" t="s">
        <v>87</v>
      </c>
      <c r="D21" s="16"/>
      <c r="E21" s="24"/>
    </row>
    <row r="22" spans="2:5" x14ac:dyDescent="0.35">
      <c r="B22" s="16">
        <v>3</v>
      </c>
      <c r="C22" s="23"/>
      <c r="D22" s="16"/>
      <c r="E22" s="24"/>
    </row>
    <row r="23" spans="2:5" x14ac:dyDescent="0.35">
      <c r="B23" s="16"/>
      <c r="C23" s="23"/>
      <c r="D23" s="16"/>
      <c r="E23" s="24"/>
    </row>
    <row r="24" spans="2:5" x14ac:dyDescent="0.35">
      <c r="B24" s="16"/>
      <c r="C24" s="23"/>
      <c r="D24" s="16"/>
      <c r="E24" s="24"/>
    </row>
    <row r="25" spans="2:5" x14ac:dyDescent="0.35">
      <c r="B25" s="16"/>
      <c r="C25" s="23"/>
      <c r="D25" s="16"/>
      <c r="E25" s="24"/>
    </row>
    <row r="26" spans="2:5" x14ac:dyDescent="0.35">
      <c r="B26" s="16"/>
      <c r="C26" s="23"/>
      <c r="D26" s="16"/>
      <c r="E26" s="24"/>
    </row>
    <row r="27" spans="2:5" x14ac:dyDescent="0.35">
      <c r="B27" s="16"/>
      <c r="C27" s="23"/>
      <c r="D27" s="16"/>
      <c r="E27" s="24"/>
    </row>
    <row r="28" spans="2:5" x14ac:dyDescent="0.35">
      <c r="B28" s="16"/>
      <c r="C28" s="23"/>
      <c r="D28" s="16"/>
      <c r="E28" s="24"/>
    </row>
    <row r="29" spans="2:5" x14ac:dyDescent="0.35">
      <c r="B29" s="16"/>
      <c r="C29" s="23"/>
      <c r="D29" s="16"/>
      <c r="E29" s="24"/>
    </row>
    <row r="30" spans="2:5" x14ac:dyDescent="0.35">
      <c r="B30" s="16"/>
      <c r="C30" s="23"/>
      <c r="D30" s="16"/>
      <c r="E30" s="24"/>
    </row>
    <row r="31" spans="2:5" x14ac:dyDescent="0.35">
      <c r="B31" s="16"/>
      <c r="C31" s="23"/>
      <c r="D31" s="24"/>
      <c r="E31" s="24"/>
    </row>
  </sheetData>
  <dataValidations count="2">
    <dataValidation type="list" allowBlank="1" showInputMessage="1" showErrorMessage="1" sqref="H4:H14" xr:uid="{00000000-0002-0000-0E00-000000000000}">
      <formula1>"WIP, Completed"</formula1>
    </dataValidation>
    <dataValidation type="list" allowBlank="1" showInputMessage="1" showErrorMessage="1" sqref="I4:I13" xr:uid="{00000000-0002-0000-0E00-000001000000}">
      <formula1>"Week 1, Week 2, Week 3, Week 4,Week 5"</formula1>
    </dataValidation>
  </dataValidation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8"/>
  <sheetViews>
    <sheetView showGridLines="0" workbookViewId="0">
      <selection activeCell="I4" sqref="I4"/>
    </sheetView>
  </sheetViews>
  <sheetFormatPr defaultColWidth="8.7265625" defaultRowHeight="14.5" x14ac:dyDescent="0.35"/>
  <cols>
    <col min="1" max="1" width="9.26953125" style="40" customWidth="1"/>
    <col min="2" max="2" width="6.1796875" style="40" customWidth="1"/>
    <col min="3" max="3" width="9.7265625" style="40" customWidth="1"/>
    <col min="4" max="4" width="30" style="40" customWidth="1"/>
    <col min="5" max="5" width="18.453125" style="40" customWidth="1"/>
    <col min="6" max="6" width="16.81640625" style="40" customWidth="1"/>
    <col min="7" max="7" width="17.26953125" style="40" customWidth="1"/>
    <col min="8" max="8" width="17.453125" style="40" bestFit="1" customWidth="1"/>
    <col min="9" max="16384" width="8.7265625" style="40"/>
  </cols>
  <sheetData>
    <row r="1" spans="1:9" x14ac:dyDescent="0.35">
      <c r="A1" s="54"/>
      <c r="B1" s="54"/>
      <c r="C1" s="54"/>
      <c r="D1" s="54"/>
      <c r="E1" s="54"/>
      <c r="F1" s="54"/>
    </row>
    <row r="2" spans="1:9" x14ac:dyDescent="0.35">
      <c r="A2" s="25"/>
      <c r="B2" s="25"/>
      <c r="C2" s="25"/>
      <c r="D2" s="26"/>
      <c r="E2" s="26"/>
      <c r="F2" s="26"/>
    </row>
    <row r="3" spans="1:9" ht="28.5" customHeight="1" x14ac:dyDescent="0.35">
      <c r="A3" s="56"/>
      <c r="B3" s="31" t="s">
        <v>23</v>
      </c>
      <c r="C3" s="31" t="s">
        <v>0</v>
      </c>
      <c r="D3" s="31" t="s">
        <v>12</v>
      </c>
      <c r="E3" s="31" t="s">
        <v>27</v>
      </c>
      <c r="F3" s="31" t="s">
        <v>49</v>
      </c>
      <c r="G3" s="31" t="s">
        <v>2</v>
      </c>
      <c r="H3" s="31" t="s">
        <v>29</v>
      </c>
      <c r="I3" s="31" t="s">
        <v>43</v>
      </c>
    </row>
    <row r="4" spans="1:9" x14ac:dyDescent="0.35">
      <c r="A4" s="56"/>
      <c r="B4" s="29">
        <v>1</v>
      </c>
      <c r="C4" s="51"/>
      <c r="D4" s="68"/>
      <c r="E4" s="68"/>
      <c r="F4" s="68"/>
      <c r="G4" s="39"/>
      <c r="H4" s="39"/>
      <c r="I4" s="6"/>
    </row>
    <row r="5" spans="1:9" x14ac:dyDescent="0.35">
      <c r="B5" s="29">
        <v>2</v>
      </c>
      <c r="C5" s="51"/>
      <c r="D5" s="8"/>
      <c r="E5" s="8"/>
      <c r="F5" s="8"/>
      <c r="G5" s="41"/>
      <c r="H5" s="39"/>
      <c r="I5" s="6"/>
    </row>
    <row r="6" spans="1:9" x14ac:dyDescent="0.35">
      <c r="B6" s="29">
        <v>3</v>
      </c>
      <c r="C6" s="51"/>
      <c r="D6" s="7"/>
      <c r="E6" s="7"/>
      <c r="F6" s="7"/>
      <c r="G6" s="41"/>
      <c r="H6" s="39"/>
      <c r="I6" s="6"/>
    </row>
    <row r="7" spans="1:9" x14ac:dyDescent="0.35">
      <c r="B7" s="29">
        <v>4</v>
      </c>
      <c r="C7" s="51"/>
      <c r="D7" s="7"/>
      <c r="E7" s="7"/>
      <c r="F7" s="7"/>
      <c r="G7" s="41"/>
      <c r="H7" s="39"/>
      <c r="I7" s="6"/>
    </row>
    <row r="8" spans="1:9" x14ac:dyDescent="0.35">
      <c r="B8" s="29">
        <v>5</v>
      </c>
      <c r="C8" s="51"/>
      <c r="D8" s="10"/>
      <c r="E8" s="10"/>
      <c r="F8" s="10"/>
      <c r="G8" s="41"/>
      <c r="H8" s="39"/>
      <c r="I8" s="6"/>
    </row>
    <row r="9" spans="1:9" x14ac:dyDescent="0.35">
      <c r="B9" s="29">
        <v>6</v>
      </c>
      <c r="C9" s="51"/>
      <c r="D9" s="8"/>
      <c r="E9" s="8"/>
      <c r="F9" s="8"/>
      <c r="G9" s="41"/>
      <c r="H9" s="39"/>
      <c r="I9" s="6"/>
    </row>
    <row r="10" spans="1:9" x14ac:dyDescent="0.35">
      <c r="B10" s="29">
        <v>7</v>
      </c>
      <c r="C10" s="51"/>
      <c r="D10" s="7"/>
      <c r="E10" s="7"/>
      <c r="F10" s="7"/>
      <c r="G10" s="41"/>
      <c r="H10" s="39"/>
      <c r="I10" s="6"/>
    </row>
    <row r="11" spans="1:9" x14ac:dyDescent="0.35">
      <c r="B11" s="29">
        <v>8</v>
      </c>
      <c r="C11" s="7"/>
      <c r="D11" s="7"/>
      <c r="E11" s="7"/>
      <c r="F11" s="7"/>
      <c r="G11" s="41"/>
      <c r="H11" s="39"/>
      <c r="I11" s="6"/>
    </row>
    <row r="12" spans="1:9" x14ac:dyDescent="0.35">
      <c r="B12" s="29">
        <v>9</v>
      </c>
      <c r="C12" s="7"/>
      <c r="D12" s="7"/>
      <c r="E12" s="7"/>
      <c r="F12" s="7"/>
      <c r="G12" s="41"/>
      <c r="H12" s="39"/>
      <c r="I12" s="6"/>
    </row>
    <row r="13" spans="1:9" x14ac:dyDescent="0.35">
      <c r="B13" s="29">
        <v>10</v>
      </c>
      <c r="C13" s="7"/>
      <c r="D13" s="7"/>
      <c r="E13" s="7"/>
      <c r="F13" s="7"/>
      <c r="G13" s="41"/>
      <c r="H13" s="39"/>
      <c r="I13" s="6"/>
    </row>
    <row r="16" spans="1:9" x14ac:dyDescent="0.35">
      <c r="B16" s="46" t="s">
        <v>34</v>
      </c>
    </row>
    <row r="17" spans="2:2" x14ac:dyDescent="0.35">
      <c r="B17" s="58" t="s">
        <v>46</v>
      </c>
    </row>
    <row r="18" spans="2:2" x14ac:dyDescent="0.35">
      <c r="B18" s="69" t="s">
        <v>41</v>
      </c>
    </row>
  </sheetData>
  <dataValidations count="2">
    <dataValidation type="list" allowBlank="1" showInputMessage="1" showErrorMessage="1" sqref="H4:H13" xr:uid="{00000000-0002-0000-0F00-000000000000}">
      <formula1>"WIP, Completed"</formula1>
    </dataValidation>
    <dataValidation type="list" allowBlank="1" showInputMessage="1" showErrorMessage="1" sqref="I4:I13" xr:uid="{00000000-0002-0000-0F00-000001000000}">
      <formula1>"Week 1, Week 2, Week 3, Week 4,Week 5"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7"/>
  <sheetViews>
    <sheetView showGridLines="0" workbookViewId="0">
      <selection activeCell="I4" sqref="I4:I13"/>
    </sheetView>
  </sheetViews>
  <sheetFormatPr defaultRowHeight="14.5" x14ac:dyDescent="0.35"/>
  <cols>
    <col min="1" max="1" width="5.81640625" bestFit="1" customWidth="1"/>
    <col min="2" max="2" width="6" customWidth="1"/>
    <col min="3" max="3" width="13.453125" customWidth="1"/>
    <col min="4" max="4" width="44.1796875" customWidth="1"/>
    <col min="5" max="5" width="36.1796875" customWidth="1"/>
    <col min="6" max="6" width="22.453125" customWidth="1"/>
    <col min="7" max="7" width="19.7265625" style="1" customWidth="1"/>
    <col min="8" max="8" width="17.453125" customWidth="1"/>
  </cols>
  <sheetData>
    <row r="1" spans="1:9" x14ac:dyDescent="0.35">
      <c r="A1" s="14"/>
      <c r="B1" s="14"/>
      <c r="C1" s="14"/>
      <c r="D1" s="14"/>
      <c r="E1" s="15"/>
      <c r="F1" s="15"/>
      <c r="G1" s="14"/>
      <c r="H1" s="15"/>
    </row>
    <row r="2" spans="1:9" x14ac:dyDescent="0.35">
      <c r="A2" s="16"/>
      <c r="B2" s="12"/>
      <c r="C2" s="12"/>
      <c r="D2" s="12"/>
      <c r="E2" s="15"/>
      <c r="F2" s="15"/>
      <c r="G2" s="13"/>
      <c r="H2" s="15"/>
    </row>
    <row r="3" spans="1:9" ht="26" x14ac:dyDescent="0.35">
      <c r="A3" s="16"/>
      <c r="B3" s="31" t="s">
        <v>23</v>
      </c>
      <c r="C3" s="31" t="s">
        <v>0</v>
      </c>
      <c r="D3" s="31" t="s">
        <v>3</v>
      </c>
      <c r="E3" s="31" t="s">
        <v>32</v>
      </c>
      <c r="F3" s="31" t="s">
        <v>48</v>
      </c>
      <c r="G3" s="31" t="s">
        <v>4</v>
      </c>
      <c r="H3" s="31" t="s">
        <v>29</v>
      </c>
      <c r="I3" s="31" t="s">
        <v>43</v>
      </c>
    </row>
    <row r="4" spans="1:9" x14ac:dyDescent="0.35">
      <c r="A4" s="16"/>
      <c r="B4" s="29">
        <v>1</v>
      </c>
      <c r="C4" s="44"/>
      <c r="D4" s="5"/>
      <c r="E4" s="6"/>
      <c r="F4" s="6"/>
      <c r="G4" s="5"/>
      <c r="H4" s="6"/>
      <c r="I4" s="6"/>
    </row>
    <row r="5" spans="1:9" x14ac:dyDescent="0.35">
      <c r="A5" s="16"/>
      <c r="B5" s="30">
        <v>2</v>
      </c>
      <c r="C5" s="45"/>
      <c r="D5" s="8"/>
      <c r="E5" s="9"/>
      <c r="F5" s="9"/>
      <c r="G5" s="8"/>
      <c r="H5" s="6"/>
      <c r="I5" s="6"/>
    </row>
    <row r="6" spans="1:9" x14ac:dyDescent="0.35">
      <c r="A6" s="16"/>
      <c r="B6" s="30">
        <v>3</v>
      </c>
      <c r="C6" s="45"/>
      <c r="D6" s="8"/>
      <c r="E6" s="9"/>
      <c r="F6" s="9"/>
      <c r="G6" s="8"/>
      <c r="H6" s="6"/>
      <c r="I6" s="6"/>
    </row>
    <row r="7" spans="1:9" x14ac:dyDescent="0.35">
      <c r="A7" s="16"/>
      <c r="B7" s="30">
        <v>4</v>
      </c>
      <c r="C7" s="45"/>
      <c r="D7" s="10"/>
      <c r="E7" s="9"/>
      <c r="F7" s="9"/>
      <c r="G7" s="10"/>
      <c r="H7" s="6"/>
      <c r="I7" s="6"/>
    </row>
    <row r="8" spans="1:9" x14ac:dyDescent="0.35">
      <c r="A8" s="16"/>
      <c r="B8" s="30">
        <v>5</v>
      </c>
      <c r="C8" s="45"/>
      <c r="D8" s="7"/>
      <c r="E8" s="9"/>
      <c r="F8" s="9"/>
      <c r="G8" s="7"/>
      <c r="H8" s="6"/>
      <c r="I8" s="6"/>
    </row>
    <row r="9" spans="1:9" x14ac:dyDescent="0.35">
      <c r="A9" s="16"/>
      <c r="B9" s="30">
        <v>6</v>
      </c>
      <c r="C9" s="45"/>
      <c r="D9" s="8"/>
      <c r="E9" s="9"/>
      <c r="F9" s="9"/>
      <c r="G9" s="8"/>
      <c r="H9" s="6"/>
      <c r="I9" s="6"/>
    </row>
    <row r="10" spans="1:9" x14ac:dyDescent="0.35">
      <c r="A10" s="15"/>
      <c r="B10" s="30">
        <v>7</v>
      </c>
      <c r="C10" s="45"/>
      <c r="D10" s="7"/>
      <c r="E10" s="9"/>
      <c r="F10" s="9"/>
      <c r="G10" s="7"/>
      <c r="H10" s="6"/>
      <c r="I10" s="6"/>
    </row>
    <row r="11" spans="1:9" x14ac:dyDescent="0.35">
      <c r="A11" s="15"/>
      <c r="B11" s="30">
        <v>8</v>
      </c>
      <c r="C11" s="45"/>
      <c r="D11" s="7"/>
      <c r="E11" s="9"/>
      <c r="F11" s="9"/>
      <c r="G11" s="7"/>
      <c r="H11" s="6"/>
      <c r="I11" s="6"/>
    </row>
    <row r="12" spans="1:9" x14ac:dyDescent="0.35">
      <c r="A12" s="15"/>
      <c r="B12" s="30">
        <v>9</v>
      </c>
      <c r="C12" s="45"/>
      <c r="D12" s="7"/>
      <c r="E12" s="9"/>
      <c r="F12" s="9"/>
      <c r="G12" s="7"/>
      <c r="H12" s="6"/>
      <c r="I12" s="6"/>
    </row>
    <row r="13" spans="1:9" x14ac:dyDescent="0.35">
      <c r="A13" s="15"/>
      <c r="B13" s="30">
        <v>10</v>
      </c>
      <c r="C13" s="45"/>
      <c r="D13" s="7"/>
      <c r="E13" s="9"/>
      <c r="F13" s="9"/>
      <c r="G13" s="7"/>
      <c r="H13" s="6"/>
      <c r="I13" s="6"/>
    </row>
    <row r="14" spans="1:9" x14ac:dyDescent="0.35">
      <c r="A14" s="15"/>
      <c r="B14" s="15"/>
      <c r="C14" s="15"/>
      <c r="D14" s="15"/>
      <c r="E14" s="15"/>
      <c r="F14" s="15"/>
      <c r="G14" s="17"/>
      <c r="H14" s="15"/>
    </row>
    <row r="15" spans="1:9" x14ac:dyDescent="0.35">
      <c r="A15" s="15"/>
      <c r="B15" s="15"/>
      <c r="C15" s="15"/>
      <c r="D15" s="15"/>
    </row>
    <row r="16" spans="1:9" x14ac:dyDescent="0.35">
      <c r="B16" s="53" t="s">
        <v>46</v>
      </c>
    </row>
    <row r="17" spans="2:2" x14ac:dyDescent="0.35">
      <c r="B17" s="69" t="s">
        <v>41</v>
      </c>
    </row>
  </sheetData>
  <dataValidations count="2">
    <dataValidation type="list" allowBlank="1" showInputMessage="1" showErrorMessage="1" sqref="H4:H13" xr:uid="{00000000-0002-0000-1000-000000000000}">
      <formula1>"WIP, Completed"</formula1>
    </dataValidation>
    <dataValidation type="list" allowBlank="1" showInputMessage="1" showErrorMessage="1" sqref="I4:I13" xr:uid="{00000000-0002-0000-1000-000001000000}">
      <formula1>"Week 1, Week 2, Week 3, Week 4,Week 5"</formula1>
    </dataValidation>
  </dataValidation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6"/>
  <sheetViews>
    <sheetView showGridLines="0" workbookViewId="0">
      <selection activeCell="I4" sqref="I4:I13"/>
    </sheetView>
  </sheetViews>
  <sheetFormatPr defaultColWidth="8.7265625" defaultRowHeight="14.5" x14ac:dyDescent="0.35"/>
  <cols>
    <col min="1" max="1" width="6.7265625" style="40" customWidth="1"/>
    <col min="2" max="2" width="6.1796875" style="40" customWidth="1"/>
    <col min="3" max="3" width="10.453125" style="40" customWidth="1"/>
    <col min="4" max="6" width="26.26953125" style="40" customWidth="1"/>
    <col min="7" max="7" width="11.453125" style="40" customWidth="1"/>
    <col min="8" max="8" width="17.453125" style="40" bestFit="1" customWidth="1"/>
    <col min="9" max="16384" width="8.7265625" style="40"/>
  </cols>
  <sheetData>
    <row r="1" spans="1:9" x14ac:dyDescent="0.35">
      <c r="A1" s="12"/>
      <c r="B1" s="12"/>
      <c r="C1" s="12"/>
      <c r="D1" s="12"/>
      <c r="E1" s="12"/>
      <c r="F1" s="12"/>
    </row>
    <row r="2" spans="1:9" x14ac:dyDescent="0.35">
      <c r="A2" s="12"/>
      <c r="B2" s="13"/>
      <c r="C2" s="13"/>
      <c r="D2" s="19"/>
      <c r="E2" s="19"/>
      <c r="F2" s="19"/>
    </row>
    <row r="3" spans="1:9" ht="27" customHeight="1" x14ac:dyDescent="0.35">
      <c r="A3" s="12"/>
      <c r="B3" s="31" t="s">
        <v>23</v>
      </c>
      <c r="C3" s="31" t="s">
        <v>0</v>
      </c>
      <c r="D3" s="31" t="s">
        <v>35</v>
      </c>
      <c r="E3" s="31" t="s">
        <v>36</v>
      </c>
      <c r="F3" s="31" t="s">
        <v>37</v>
      </c>
      <c r="G3" s="31" t="s">
        <v>2</v>
      </c>
      <c r="H3" s="31" t="s">
        <v>29</v>
      </c>
      <c r="I3" s="31" t="s">
        <v>43</v>
      </c>
    </row>
    <row r="4" spans="1:9" x14ac:dyDescent="0.35">
      <c r="A4" s="56"/>
      <c r="B4" s="29">
        <v>1</v>
      </c>
      <c r="C4" s="5"/>
      <c r="D4" s="5"/>
      <c r="E4" s="5"/>
      <c r="F4" s="5"/>
      <c r="G4" s="39"/>
      <c r="H4" s="39"/>
      <c r="I4" s="6"/>
    </row>
    <row r="5" spans="1:9" x14ac:dyDescent="0.35">
      <c r="A5" s="56"/>
      <c r="B5" s="30">
        <v>2</v>
      </c>
      <c r="C5" s="8"/>
      <c r="D5" s="8"/>
      <c r="E5" s="8"/>
      <c r="F5" s="8"/>
      <c r="G5" s="41"/>
      <c r="H5" s="39"/>
      <c r="I5" s="6"/>
    </row>
    <row r="6" spans="1:9" x14ac:dyDescent="0.35">
      <c r="A6" s="56"/>
      <c r="B6" s="30">
        <v>3</v>
      </c>
      <c r="C6" s="8"/>
      <c r="D6" s="8"/>
      <c r="E6" s="8"/>
      <c r="F6" s="8"/>
      <c r="G6" s="41"/>
      <c r="H6" s="39"/>
      <c r="I6" s="6"/>
    </row>
    <row r="7" spans="1:9" x14ac:dyDescent="0.35">
      <c r="A7" s="56"/>
      <c r="B7" s="30">
        <v>4</v>
      </c>
      <c r="C7" s="10"/>
      <c r="D7" s="10"/>
      <c r="E7" s="10"/>
      <c r="F7" s="10"/>
      <c r="G7" s="41"/>
      <c r="H7" s="39"/>
      <c r="I7" s="6"/>
    </row>
    <row r="8" spans="1:9" x14ac:dyDescent="0.35">
      <c r="A8" s="56"/>
      <c r="B8" s="30">
        <v>5</v>
      </c>
      <c r="C8" s="7"/>
      <c r="D8" s="7"/>
      <c r="E8" s="7"/>
      <c r="F8" s="7"/>
      <c r="G8" s="41"/>
      <c r="H8" s="39"/>
      <c r="I8" s="6"/>
    </row>
    <row r="9" spans="1:9" x14ac:dyDescent="0.35">
      <c r="A9" s="56"/>
      <c r="B9" s="30">
        <v>6</v>
      </c>
      <c r="C9" s="8"/>
      <c r="D9" s="8"/>
      <c r="E9" s="8"/>
      <c r="F9" s="8"/>
      <c r="G9" s="41"/>
      <c r="H9" s="39"/>
      <c r="I9" s="6"/>
    </row>
    <row r="10" spans="1:9" x14ac:dyDescent="0.35">
      <c r="B10" s="30">
        <v>7</v>
      </c>
      <c r="C10" s="7"/>
      <c r="D10" s="7"/>
      <c r="E10" s="7"/>
      <c r="F10" s="7"/>
      <c r="G10" s="41"/>
      <c r="H10" s="39"/>
      <c r="I10" s="6"/>
    </row>
    <row r="11" spans="1:9" x14ac:dyDescent="0.35">
      <c r="B11" s="30">
        <v>8</v>
      </c>
      <c r="C11" s="7"/>
      <c r="D11" s="7"/>
      <c r="E11" s="7"/>
      <c r="F11" s="7"/>
      <c r="G11" s="41"/>
      <c r="H11" s="39"/>
      <c r="I11" s="6"/>
    </row>
    <row r="12" spans="1:9" x14ac:dyDescent="0.35">
      <c r="B12" s="30">
        <v>9</v>
      </c>
      <c r="C12" s="7"/>
      <c r="D12" s="7"/>
      <c r="E12" s="7"/>
      <c r="F12" s="7"/>
      <c r="G12" s="41"/>
      <c r="H12" s="39"/>
      <c r="I12" s="6"/>
    </row>
    <row r="13" spans="1:9" x14ac:dyDescent="0.35">
      <c r="B13" s="30">
        <v>10</v>
      </c>
      <c r="C13" s="7"/>
      <c r="D13" s="7"/>
      <c r="E13" s="7"/>
      <c r="F13" s="7"/>
      <c r="G13" s="41"/>
      <c r="H13" s="39"/>
      <c r="I13" s="6"/>
    </row>
    <row r="15" spans="1:9" x14ac:dyDescent="0.35">
      <c r="B15" s="53" t="s">
        <v>46</v>
      </c>
    </row>
    <row r="16" spans="1:9" x14ac:dyDescent="0.35">
      <c r="B16" s="69" t="s">
        <v>41</v>
      </c>
    </row>
  </sheetData>
  <dataValidations count="2">
    <dataValidation type="list" allowBlank="1" showInputMessage="1" showErrorMessage="1" sqref="H4:H13" xr:uid="{00000000-0002-0000-1100-000000000000}">
      <formula1>"WIP, Completed"</formula1>
    </dataValidation>
    <dataValidation type="list" allowBlank="1" showInputMessage="1" showErrorMessage="1" sqref="I4:I13" xr:uid="{00000000-0002-0000-1100-000001000000}">
      <formula1>"Week 1, Week 2, Week 3, Week 4,Week 5"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"/>
  <sheetViews>
    <sheetView topLeftCell="A7" zoomScale="90" zoomScaleNormal="90" workbookViewId="0">
      <selection activeCell="E16" sqref="E16"/>
    </sheetView>
  </sheetViews>
  <sheetFormatPr defaultRowHeight="14.5" x14ac:dyDescent="0.35"/>
  <cols>
    <col min="1" max="1" width="23.54296875" style="92" customWidth="1"/>
    <col min="2" max="2" width="7.54296875" style="92" customWidth="1"/>
    <col min="3" max="3" width="15.26953125" bestFit="1" customWidth="1"/>
    <col min="4" max="4" width="6.7265625" customWidth="1"/>
    <col min="5" max="5" width="15.54296875" customWidth="1"/>
    <col min="7" max="7" width="15.1796875" customWidth="1"/>
    <col min="8" max="8" width="8.7265625" customWidth="1"/>
    <col min="9" max="9" width="9" customWidth="1"/>
    <col min="10" max="10" width="12" customWidth="1"/>
    <col min="11" max="11" width="13.08984375" customWidth="1"/>
    <col min="12" max="12" width="11.54296875" customWidth="1"/>
    <col min="13" max="13" width="50.1796875" bestFit="1" customWidth="1"/>
    <col min="14" max="14" width="18.08984375" customWidth="1"/>
  </cols>
  <sheetData>
    <row r="1" spans="1:14" x14ac:dyDescent="0.35">
      <c r="A1" s="92" t="s">
        <v>0</v>
      </c>
      <c r="B1" s="92" t="s">
        <v>77</v>
      </c>
      <c r="C1" t="s">
        <v>66</v>
      </c>
      <c r="D1" t="s">
        <v>67</v>
      </c>
      <c r="E1" t="s">
        <v>68</v>
      </c>
      <c r="F1" t="s">
        <v>72</v>
      </c>
      <c r="G1" t="s">
        <v>69</v>
      </c>
      <c r="H1" t="s">
        <v>80</v>
      </c>
      <c r="I1" t="s">
        <v>81</v>
      </c>
      <c r="J1" t="s">
        <v>70</v>
      </c>
      <c r="K1" t="s">
        <v>73</v>
      </c>
      <c r="L1" t="s">
        <v>74</v>
      </c>
      <c r="M1" t="s">
        <v>75</v>
      </c>
      <c r="N1" t="s">
        <v>76</v>
      </c>
    </row>
    <row r="2" spans="1:14" x14ac:dyDescent="0.35">
      <c r="A2" s="93">
        <v>44319</v>
      </c>
      <c r="B2" s="93" t="s">
        <v>78</v>
      </c>
      <c r="C2" t="s">
        <v>95</v>
      </c>
      <c r="D2" s="91">
        <v>16</v>
      </c>
      <c r="E2">
        <v>200.3</v>
      </c>
      <c r="F2">
        <f>D2*E2</f>
        <v>3204.8</v>
      </c>
      <c r="G2">
        <v>5131</v>
      </c>
      <c r="J2">
        <f>Table22[[#This Row],[Available(SOD)]] - Table22[[#This Row],[Total]]</f>
        <v>1926.1999999999998</v>
      </c>
      <c r="K2" s="88">
        <f>IF(AND(Table22[[#This Row],[Total]] = 0,(Table22[[#This Row],[Available(EOD)]] - G3) &lt;= 0),"NA",G3-Table22[[#This Row],[Available(EOD)]])</f>
        <v>-3.1999999999998181</v>
      </c>
      <c r="L2" s="89">
        <f>IF(Table22[[#This Row],[Total]] = 0, "NA",(Table22[[#This Row],[Brokerage]]/Table22[[#This Row],[Total]])*100)</f>
        <v>-9.9850224662999823E-2</v>
      </c>
    </row>
    <row r="3" spans="1:14" x14ac:dyDescent="0.35">
      <c r="A3" s="93">
        <v>44320</v>
      </c>
      <c r="B3" s="93" t="s">
        <v>78</v>
      </c>
      <c r="C3" t="s">
        <v>95</v>
      </c>
      <c r="D3">
        <v>8</v>
      </c>
      <c r="E3">
        <v>200</v>
      </c>
      <c r="F3">
        <f t="shared" ref="F3:F30" si="0">D3*E3</f>
        <v>1600</v>
      </c>
      <c r="G3">
        <v>1923</v>
      </c>
      <c r="H3">
        <v>2000</v>
      </c>
      <c r="J3">
        <f>(Table22[[#This Row],[Available(SOD)]] + Table22[[#This Row],[Add Fund]] - Table22[[#This Row],[Withdraw Fund]]) - Table22[[#This Row],[Total]]</f>
        <v>2323</v>
      </c>
      <c r="K3" s="88">
        <f>IF(AND(Table22[[#This Row],[Total]] = 0,(Table22[[#This Row],[Available(EOD)]] - G4) &lt;= 0),"NA",G4-Table22[[#This Row],[Available(EOD)]])</f>
        <v>-2</v>
      </c>
      <c r="L3" s="89">
        <f>IF(Table22[[#This Row],[Total]] = 0, "NA",(Table22[[#This Row],[Brokerage]]/Table22[[#This Row],[Total]])*100)</f>
        <v>-0.125</v>
      </c>
    </row>
    <row r="4" spans="1:14" x14ac:dyDescent="0.35">
      <c r="A4" s="93">
        <v>44321</v>
      </c>
      <c r="B4" s="93"/>
      <c r="F4">
        <f t="shared" si="0"/>
        <v>0</v>
      </c>
      <c r="G4">
        <v>2321</v>
      </c>
      <c r="J4">
        <f>(Table22[[#This Row],[Available(SOD)]] + Table22[[#This Row],[Add Fund]] - Table22[[#This Row],[Withdraw Fund]]) - Table22[[#This Row],[Total]]</f>
        <v>2321</v>
      </c>
      <c r="K4" s="88" t="str">
        <f>IF(AND(Table22[[#This Row],[Total]] = 0,(Table22[[#This Row],[Available(EOD)]] - G5) &lt;= 0),"NA",G5-Table22[[#This Row],[Available(EOD)]])</f>
        <v>NA</v>
      </c>
      <c r="L4" s="89" t="str">
        <f>IF(Table22[[#This Row],[Total]] = 0, "NA",(Table22[[#This Row],[Brokerage]]/Table22[[#This Row],[Total]])*100)</f>
        <v>NA</v>
      </c>
    </row>
    <row r="5" spans="1:14" x14ac:dyDescent="0.35">
      <c r="A5" s="93">
        <v>44322</v>
      </c>
      <c r="B5" s="93"/>
      <c r="F5">
        <f t="shared" si="0"/>
        <v>0</v>
      </c>
      <c r="G5">
        <v>2321</v>
      </c>
      <c r="J5">
        <f>(Table22[[#This Row],[Available(SOD)]] + Table22[[#This Row],[Add Fund]] - Table22[[#This Row],[Withdraw Fund]]) - Table22[[#This Row],[Total]]</f>
        <v>2321</v>
      </c>
      <c r="K5" s="88" t="str">
        <f>IF(AND(Table22[[#This Row],[Total]] = 0,(Table22[[#This Row],[Available(EOD)]] - G6) &lt;= 0),"NA",G6-Table22[[#This Row],[Available(EOD)]])</f>
        <v>NA</v>
      </c>
      <c r="L5" s="89" t="str">
        <f>IF(Table22[[#This Row],[Total]] = 0, "NA",(Table22[[#This Row],[Brokerage]]/Table22[[#This Row],[Total]])*100)</f>
        <v>NA</v>
      </c>
    </row>
    <row r="6" spans="1:14" x14ac:dyDescent="0.35">
      <c r="A6" s="93">
        <v>44323</v>
      </c>
      <c r="B6" s="93"/>
      <c r="E6" s="94"/>
      <c r="F6">
        <f t="shared" si="0"/>
        <v>0</v>
      </c>
      <c r="G6">
        <v>2321</v>
      </c>
      <c r="J6">
        <f>(Table22[[#This Row],[Available(SOD)]] + Table22[[#This Row],[Add Fund]] - Table22[[#This Row],[Withdraw Fund]]) - Table22[[#This Row],[Total]]</f>
        <v>2321</v>
      </c>
      <c r="K6" s="88" t="str">
        <f>IF(AND(Table22[[#This Row],[Total]] = 0,(Table22[[#This Row],[Available(EOD)]] - G7) &lt;= 0),"NA",G7-Table22[[#This Row],[Available(EOD)]])</f>
        <v>NA</v>
      </c>
      <c r="L6" s="99" t="str">
        <f>IF(Table22[[#This Row],[Total]] = 0, "NA",(Table22[[#This Row],[Brokerage]]/Table22[[#This Row],[Total]])*100)</f>
        <v>NA</v>
      </c>
    </row>
    <row r="7" spans="1:14" x14ac:dyDescent="0.35">
      <c r="A7" s="93">
        <v>44324</v>
      </c>
      <c r="B7" s="93"/>
      <c r="F7">
        <f t="shared" si="0"/>
        <v>0</v>
      </c>
      <c r="G7">
        <v>2321</v>
      </c>
      <c r="J7">
        <f>(Table22[[#This Row],[Available(SOD)]] + Table22[[#This Row],[Add Fund]] - Table22[[#This Row],[Withdraw Fund]]) - Table22[[#This Row],[Total]]</f>
        <v>2321</v>
      </c>
      <c r="K7" s="88">
        <f>IF(AND(Table22[[#This Row],[Total]] = 0,(Table22[[#This Row],[Available(EOD)]] - G8) &lt;= 0),"NA",G8-Table22[[#This Row],[Available(EOD)]])</f>
        <v>-2321</v>
      </c>
      <c r="L7" s="89" t="str">
        <f>IF(Table22[[#This Row],[Total]] = 0, "NA",(Table22[[#This Row],[Brokerage]]/Table22[[#This Row],[Total]])*100)</f>
        <v>NA</v>
      </c>
    </row>
    <row r="8" spans="1:14" x14ac:dyDescent="0.35">
      <c r="A8" s="95">
        <v>44325</v>
      </c>
      <c r="B8" s="95"/>
      <c r="C8" s="96"/>
      <c r="D8" s="96"/>
      <c r="E8" s="96"/>
      <c r="F8" s="96">
        <f t="shared" si="0"/>
        <v>0</v>
      </c>
      <c r="G8" s="96"/>
      <c r="H8" s="96"/>
      <c r="I8" s="96"/>
      <c r="J8" s="96">
        <f>(Table22[[#This Row],[Available(SOD)]] + Table22[[#This Row],[Add Fund]] - Table22[[#This Row],[Withdraw Fund]]) - Table22[[#This Row],[Total]]</f>
        <v>0</v>
      </c>
      <c r="K8" s="96" t="str">
        <f>IF(AND(Table22[[#This Row],[Total]] = 0,(Table22[[#This Row],[Available(EOD)]] - G9) &lt;= 0),"NA",G9-Table22[[#This Row],[Available(EOD)]])</f>
        <v>NA</v>
      </c>
      <c r="L8" s="96" t="str">
        <f>IF(Table22[[#This Row],[Total]] = 0, "NA",(Table22[[#This Row],[Brokerage]]/Table22[[#This Row],[Total]])*100)</f>
        <v>NA</v>
      </c>
      <c r="M8" s="96"/>
      <c r="N8" s="96"/>
    </row>
    <row r="9" spans="1:14" x14ac:dyDescent="0.35">
      <c r="A9" s="93">
        <v>44326</v>
      </c>
      <c r="B9" s="93"/>
      <c r="D9" s="100"/>
      <c r="F9">
        <f t="shared" si="0"/>
        <v>0</v>
      </c>
      <c r="G9">
        <v>2321</v>
      </c>
      <c r="J9">
        <f>(Table22[[#This Row],[Available(SOD)]] + Table22[[#This Row],[Add Fund]] - Table22[[#This Row],[Withdraw Fund]]) - Table22[[#This Row],[Total]]</f>
        <v>2321</v>
      </c>
      <c r="K9" s="88" t="str">
        <f>IF(AND(Table22[[#This Row],[Total]] = 0,(Table22[[#This Row],[Available(EOD)]] - G10) &lt;= 0),"NA",G10-Table22[[#This Row],[Available(EOD)]])</f>
        <v>NA</v>
      </c>
      <c r="L9" s="89" t="str">
        <f>IF(Table22[[#This Row],[Total]] = 0, "NA",(Table22[[#This Row],[Brokerage]]/Table22[[#This Row],[Total]])*100)</f>
        <v>NA</v>
      </c>
    </row>
    <row r="10" spans="1:14" x14ac:dyDescent="0.35">
      <c r="A10" s="93">
        <v>44327</v>
      </c>
      <c r="B10" s="93" t="s">
        <v>78</v>
      </c>
      <c r="C10" t="s">
        <v>97</v>
      </c>
      <c r="D10">
        <v>5</v>
      </c>
      <c r="E10">
        <v>475.2</v>
      </c>
      <c r="F10">
        <f t="shared" si="0"/>
        <v>2376</v>
      </c>
      <c r="G10">
        <v>2321</v>
      </c>
      <c r="H10">
        <v>2000</v>
      </c>
      <c r="J10">
        <f>(Table22[[#This Row],[Available(SOD)]] + Table22[[#This Row],[Add Fund]] - Table22[[#This Row],[Withdraw Fund]]) - Table22[[#This Row],[Total]]</f>
        <v>1945</v>
      </c>
      <c r="K10" s="88">
        <f>IF(AND(Table22[[#This Row],[Total]] = 0,(Table22[[#This Row],[Available(EOD)]] - G11) &lt;= 0),"NA",G11-Table22[[#This Row],[Available(EOD)]])</f>
        <v>-1.9000000000000909</v>
      </c>
      <c r="L10" s="89">
        <f>IF(Table22[[#This Row],[Total]] = 0, "NA",(Table22[[#This Row],[Brokerage]]/Table22[[#This Row],[Total]])*100)</f>
        <v>-7.9966329966333793E-2</v>
      </c>
    </row>
    <row r="11" spans="1:14" x14ac:dyDescent="0.35">
      <c r="A11" s="93">
        <v>44328</v>
      </c>
      <c r="B11" t="s">
        <v>78</v>
      </c>
      <c r="C11" t="s">
        <v>98</v>
      </c>
      <c r="D11">
        <v>2</v>
      </c>
      <c r="E11">
        <v>665.5</v>
      </c>
      <c r="F11">
        <f t="shared" si="0"/>
        <v>1331</v>
      </c>
      <c r="G11">
        <v>1943.1</v>
      </c>
      <c r="J11">
        <f>(Table22[[#This Row],[Available(SOD)]] + Table22[[#This Row],[Add Fund]] - Table22[[#This Row],[Withdraw Fund]]) - Table22[[#This Row],[Total]]</f>
        <v>612.09999999999991</v>
      </c>
      <c r="K11" s="88">
        <f>IF(AND(Table22[[#This Row],[Total]] = 0,(Table22[[#This Row],[Available(EOD)]] - G12) &lt;= 0),"NA",G12-Table22[[#This Row],[Available(EOD)]])</f>
        <v>-0.99999999999988631</v>
      </c>
      <c r="L11" s="89">
        <f>IF(Table22[[#This Row],[Total]] = 0, "NA",(Table22[[#This Row],[Brokerage]]/Table22[[#This Row],[Total]])*100)</f>
        <v>-7.5131480090149236E-2</v>
      </c>
    </row>
    <row r="12" spans="1:14" x14ac:dyDescent="0.35">
      <c r="A12" s="93">
        <v>44329</v>
      </c>
      <c r="B12" s="93"/>
      <c r="F12">
        <f t="shared" si="0"/>
        <v>0</v>
      </c>
      <c r="G12">
        <v>611.1</v>
      </c>
      <c r="J12">
        <f>(Table22[[#This Row],[Available(SOD)]] + Table22[[#This Row],[Add Fund]] - Table22[[#This Row],[Withdraw Fund]]) - Table22[[#This Row],[Total]]</f>
        <v>611.1</v>
      </c>
      <c r="K12" s="88">
        <f>IF(AND(Table22[[#This Row],[Total]] = 0,(Table22[[#This Row],[Available(EOD)]] - G13) &lt;= 0),"NA",G13-Table22[[#This Row],[Available(EOD)]])</f>
        <v>-611.1</v>
      </c>
      <c r="L12" s="89" t="str">
        <f>IF(Table22[[#This Row],[Total]] = 0, "NA",(Table22[[#This Row],[Brokerage]]/Table22[[#This Row],[Total]])*100)</f>
        <v>NA</v>
      </c>
    </row>
    <row r="13" spans="1:14" x14ac:dyDescent="0.35">
      <c r="A13" s="93">
        <v>44330</v>
      </c>
      <c r="B13" s="93"/>
      <c r="F13">
        <f t="shared" si="0"/>
        <v>0</v>
      </c>
      <c r="J13">
        <f>(Table22[[#This Row],[Available(SOD)]] + Table22[[#This Row],[Add Fund]] - Table22[[#This Row],[Withdraw Fund]]) - Table22[[#This Row],[Total]]</f>
        <v>0</v>
      </c>
      <c r="K13" s="88" t="str">
        <f>IF(AND(Table22[[#This Row],[Total]] = 0,(Table22[[#This Row],[Available(EOD)]] - G14) &lt;= 0),"NA",G14-Table22[[#This Row],[Available(EOD)]])</f>
        <v>NA</v>
      </c>
      <c r="L13" s="89" t="str">
        <f>IF(Table22[[#This Row],[Total]] = 0, "NA",(Table22[[#This Row],[Brokerage]]/Table22[[#This Row],[Total]])*100)</f>
        <v>NA</v>
      </c>
    </row>
    <row r="14" spans="1:14" x14ac:dyDescent="0.35">
      <c r="A14" s="93">
        <v>44331</v>
      </c>
      <c r="B14" s="93"/>
      <c r="F14">
        <f t="shared" si="0"/>
        <v>0</v>
      </c>
      <c r="J14">
        <f>(Table22[[#This Row],[Available(SOD)]] + Table22[[#This Row],[Add Fund]] - Table22[[#This Row],[Withdraw Fund]]) - Table22[[#This Row],[Total]]</f>
        <v>0</v>
      </c>
      <c r="K14" s="88" t="str">
        <f>IF(AND(Table22[[#This Row],[Total]] = 0,(Table22[[#This Row],[Available(EOD)]] - G15) &lt;= 0),"NA",G15-Table22[[#This Row],[Available(EOD)]])</f>
        <v>NA</v>
      </c>
      <c r="L14" s="89" t="str">
        <f>IF(Table22[[#This Row],[Total]] = 0, "NA",(Table22[[#This Row],[Brokerage]]/Table22[[#This Row],[Total]])*100)</f>
        <v>NA</v>
      </c>
    </row>
    <row r="15" spans="1:14" x14ac:dyDescent="0.35">
      <c r="A15" s="95">
        <v>44332</v>
      </c>
      <c r="B15" s="95"/>
      <c r="C15" s="96"/>
      <c r="D15" s="96"/>
      <c r="E15" s="96"/>
      <c r="F15" s="96">
        <f t="shared" si="0"/>
        <v>0</v>
      </c>
      <c r="G15" s="96"/>
      <c r="H15" s="96"/>
      <c r="I15" s="96"/>
      <c r="J15" s="96">
        <f>(Table22[[#This Row],[Available(SOD)]] + Table22[[#This Row],[Add Fund]] - Table22[[#This Row],[Withdraw Fund]]) - Table22[[#This Row],[Total]]</f>
        <v>0</v>
      </c>
      <c r="K15" s="96" t="str">
        <f>IF(AND(Table22[[#This Row],[Total]] = 0,(Table22[[#This Row],[Available(EOD)]] - G16) &lt;= 0),"NA",G16-Table22[[#This Row],[Available(EOD)]])</f>
        <v>NA</v>
      </c>
      <c r="L15" s="96" t="str">
        <f>IF(Table22[[#This Row],[Total]] = 0, "NA",(Table22[[#This Row],[Brokerage]]/Table22[[#This Row],[Total]])*100)</f>
        <v>NA</v>
      </c>
      <c r="M15" s="96"/>
      <c r="N15" s="96"/>
    </row>
    <row r="16" spans="1:14" x14ac:dyDescent="0.35">
      <c r="A16" s="93">
        <v>44333</v>
      </c>
      <c r="B16" s="93" t="s">
        <v>78</v>
      </c>
      <c r="C16" t="s">
        <v>98</v>
      </c>
      <c r="D16">
        <v>1</v>
      </c>
      <c r="E16">
        <v>664.5</v>
      </c>
      <c r="F16">
        <f t="shared" si="0"/>
        <v>664.5</v>
      </c>
      <c r="G16">
        <v>611.1</v>
      </c>
      <c r="H16">
        <v>1500</v>
      </c>
      <c r="J16">
        <f>(Table22[[#This Row],[Available(SOD)]] + Table22[[#This Row],[Add Fund]] - Table22[[#This Row],[Withdraw Fund]]) - Table22[[#This Row],[Total]]</f>
        <v>1446.6</v>
      </c>
      <c r="K16" s="88">
        <f>IF(AND(Table22[[#This Row],[Total]] = 0,(Table22[[#This Row],[Available(EOD)]] - G17) &lt;= 0),"NA",G17-Table22[[#This Row],[Available(EOD)]])</f>
        <v>-1.0999999999999091</v>
      </c>
      <c r="L16" s="89">
        <f>IF(Table22[[#This Row],[Total]] = 0, "NA",(Table22[[#This Row],[Brokerage]]/Table22[[#This Row],[Total]])*100)</f>
        <v>-0.1655379984950954</v>
      </c>
    </row>
    <row r="17" spans="1:14" x14ac:dyDescent="0.35">
      <c r="A17" s="93">
        <v>44334</v>
      </c>
      <c r="B17" s="93" t="s">
        <v>99</v>
      </c>
      <c r="C17" t="s">
        <v>100</v>
      </c>
      <c r="D17">
        <v>62</v>
      </c>
      <c r="E17">
        <v>1415</v>
      </c>
      <c r="F17">
        <f t="shared" si="0"/>
        <v>87730</v>
      </c>
      <c r="G17">
        <v>1445.5</v>
      </c>
      <c r="H17">
        <v>0</v>
      </c>
      <c r="J17">
        <f>(Table22[[#This Row],[Available(SOD)]] + Table22[[#This Row],[Add Fund]] - Table22[[#This Row],[Withdraw Fund]]) + Table22[[#This Row],[Total]]</f>
        <v>89175.5</v>
      </c>
      <c r="K17" s="88">
        <f>IF(AND(Table22[[#This Row],[Total]] = 0,(Table22[[#This Row],[Available(EOD)]] - G18) &lt;= 0),"NA",G18-Table22[[#This Row],[Available(EOD)]])</f>
        <v>0</v>
      </c>
      <c r="L17" s="89">
        <f>IF(Table22[[#This Row],[Total]] = 0, "NA",(Table22[[#This Row],[Brokerage]]/Table22[[#This Row],[Total]])*100)</f>
        <v>0</v>
      </c>
      <c r="M17" t="s">
        <v>102</v>
      </c>
    </row>
    <row r="18" spans="1:14" x14ac:dyDescent="0.35">
      <c r="A18" s="93">
        <v>44334</v>
      </c>
      <c r="B18" s="93" t="s">
        <v>99</v>
      </c>
      <c r="C18" t="s">
        <v>101</v>
      </c>
      <c r="D18">
        <v>100</v>
      </c>
      <c r="E18">
        <v>72.5</v>
      </c>
      <c r="F18">
        <f t="shared" si="0"/>
        <v>7250</v>
      </c>
      <c r="G18">
        <f>1445.5+F17</f>
        <v>89175.5</v>
      </c>
      <c r="H18">
        <v>0</v>
      </c>
      <c r="J18">
        <f>(Table22[[#This Row],[Available(SOD)]] + Table22[[#This Row],[Add Fund]] - Table22[[#This Row],[Withdraw Fund]]) + Table22[[#This Row],[Total]]</f>
        <v>96425.5</v>
      </c>
      <c r="K18" s="88">
        <f>IF(AND(Table22[[#This Row],[Total]] = 0,(Table22[[#This Row],[Available(EOD)]] - G19) &lt;= 0),"NA",G19-Table22[[#This Row],[Available(EOD)]])</f>
        <v>-130.80000000000291</v>
      </c>
      <c r="L18" s="89">
        <f>IF(Table22[[#This Row],[Total]] = 0, "NA",(Table22[[#This Row],[Brokerage]]/Table22[[#This Row],[Total]])*100)</f>
        <v>-1.8041379310345229</v>
      </c>
      <c r="M18" t="s">
        <v>103</v>
      </c>
    </row>
    <row r="19" spans="1:14" x14ac:dyDescent="0.35">
      <c r="A19" s="93">
        <v>44335</v>
      </c>
      <c r="B19" s="93" t="s">
        <v>78</v>
      </c>
      <c r="C19" t="s">
        <v>97</v>
      </c>
      <c r="D19">
        <v>4</v>
      </c>
      <c r="E19">
        <v>520.6</v>
      </c>
      <c r="F19">
        <f t="shared" si="0"/>
        <v>2082.4</v>
      </c>
      <c r="G19">
        <v>96294.7</v>
      </c>
      <c r="J19">
        <f>(Table22[[#This Row],[Available(SOD)]] + Table22[[#This Row],[Add Fund]] - Table22[[#This Row],[Withdraw Fund]]) - Table22[[#This Row],[Total]]</f>
        <v>94212.3</v>
      </c>
      <c r="K19" s="88">
        <f>IF(AND(Table22[[#This Row],[Total]] = 0,(Table22[[#This Row],[Available(EOD)]] - G20) &lt;= 0),"NA",G20-Table22[[#This Row],[Available(EOD)]])</f>
        <v>-2.1000000000058208</v>
      </c>
      <c r="L19" s="89">
        <f>IF(Table22[[#This Row],[Total]] = 0, "NA",(Table22[[#This Row],[Brokerage]]/Table22[[#This Row],[Total]])*100)</f>
        <v>-0.10084517864031024</v>
      </c>
    </row>
    <row r="20" spans="1:14" x14ac:dyDescent="0.35">
      <c r="A20" s="93">
        <v>44336</v>
      </c>
      <c r="B20" s="93"/>
      <c r="F20">
        <f t="shared" si="0"/>
        <v>0</v>
      </c>
      <c r="G20">
        <v>94210.2</v>
      </c>
      <c r="J20">
        <f>(Table22[[#This Row],[Available(SOD)]] + Table22[[#This Row],[Add Fund]] - Table22[[#This Row],[Withdraw Fund]]) - Table22[[#This Row],[Total]]</f>
        <v>94210.2</v>
      </c>
      <c r="K20" s="88" t="str">
        <f>IF(AND(Table22[[#This Row],[Total]] = 0,(Table22[[#This Row],[Available(EOD)]] - G21) &lt;= 0),"NA",G21-Table22[[#This Row],[Available(EOD)]])</f>
        <v>NA</v>
      </c>
      <c r="L20" s="89" t="str">
        <f>IF(Table22[[#This Row],[Total]] = 0, "NA",(Table22[[#This Row],[Brokerage]]/Table22[[#This Row],[Total]])*100)</f>
        <v>NA</v>
      </c>
    </row>
    <row r="21" spans="1:14" x14ac:dyDescent="0.35">
      <c r="A21" s="93">
        <v>44337</v>
      </c>
      <c r="B21" s="93"/>
      <c r="F21">
        <f t="shared" si="0"/>
        <v>0</v>
      </c>
      <c r="G21">
        <v>94210.2</v>
      </c>
      <c r="I21">
        <v>94100</v>
      </c>
      <c r="J21">
        <f>(Table22[[#This Row],[Available(SOD)]] + Table22[[#This Row],[Add Fund]] - Table22[[#This Row],[Withdraw Fund]]) - Table22[[#This Row],[Total]]</f>
        <v>110.19999999999709</v>
      </c>
      <c r="K21" s="88">
        <f>IF(AND(Table22[[#This Row],[Total]] = 0,(Table22[[#This Row],[Available(EOD)]] - G22) &lt;= 0),"NA",G22-Table22[[#This Row],[Available(EOD)]])</f>
        <v>-110.19999999999709</v>
      </c>
      <c r="L21" s="89" t="str">
        <f>IF(Table22[[#This Row],[Total]] = 0, "NA",(Table22[[#This Row],[Brokerage]]/Table22[[#This Row],[Total]])*100)</f>
        <v>NA</v>
      </c>
    </row>
    <row r="22" spans="1:14" x14ac:dyDescent="0.35">
      <c r="A22" s="95">
        <v>44339</v>
      </c>
      <c r="B22" s="95"/>
      <c r="C22" s="96"/>
      <c r="D22" s="96"/>
      <c r="E22" s="96"/>
      <c r="F22" s="96">
        <f t="shared" si="0"/>
        <v>0</v>
      </c>
      <c r="G22" s="96"/>
      <c r="H22" s="96"/>
      <c r="I22" s="96"/>
      <c r="J22" s="96">
        <f>(Table22[[#This Row],[Available(SOD)]] + Table22[[#This Row],[Add Fund]] - Table22[[#This Row],[Withdraw Fund]]) - Table22[[#This Row],[Total]]</f>
        <v>0</v>
      </c>
      <c r="K22" s="96" t="str">
        <f>IF(AND(Table22[[#This Row],[Total]] = 0,(Table22[[#This Row],[Available(EOD)]] - G23) &lt;= 0),"NA",G23-Table22[[#This Row],[Available(EOD)]])</f>
        <v>NA</v>
      </c>
      <c r="L22" s="96" t="str">
        <f>IF(Table22[[#This Row],[Total]] = 0, "NA",(Table22[[#This Row],[Brokerage]]/Table22[[#This Row],[Total]])*100)</f>
        <v>NA</v>
      </c>
      <c r="M22" s="96"/>
      <c r="N22" s="96"/>
    </row>
    <row r="23" spans="1:14" x14ac:dyDescent="0.35">
      <c r="A23" s="93">
        <v>44340</v>
      </c>
      <c r="B23" s="93" t="s">
        <v>99</v>
      </c>
      <c r="C23" t="s">
        <v>79</v>
      </c>
      <c r="D23">
        <v>493</v>
      </c>
      <c r="E23">
        <v>143.1</v>
      </c>
      <c r="F23">
        <f t="shared" si="0"/>
        <v>70548.3</v>
      </c>
      <c r="G23">
        <v>110.2</v>
      </c>
      <c r="J23">
        <f>(Table22[[#This Row],[Available(SOD)]] + Table22[[#This Row],[Add Fund]] - Table22[[#This Row],[Withdraw Fund]]) + Table22[[#This Row],[Total]]</f>
        <v>70658.5</v>
      </c>
      <c r="K23" s="88">
        <f>IF(AND(Table22[[#This Row],[Total]] = 0,(Table22[[#This Row],[Available(EOD)]] - G24) &lt;= 0),"NA",G24-Table22[[#This Row],[Available(EOD)]])</f>
        <v>-89.30000000000291</v>
      </c>
      <c r="L23" s="89">
        <f>IF(Table22[[#This Row],[Total]] = 0, "NA",(Table22[[#This Row],[Brokerage]]/Table22[[#This Row],[Total]])*100)</f>
        <v>-0.12657994593775174</v>
      </c>
    </row>
    <row r="24" spans="1:14" x14ac:dyDescent="0.35">
      <c r="A24" s="93">
        <v>44341</v>
      </c>
      <c r="B24" s="93"/>
      <c r="F24">
        <f t="shared" si="0"/>
        <v>0</v>
      </c>
      <c r="G24">
        <v>70569.2</v>
      </c>
      <c r="J24">
        <f>(Table22[[#This Row],[Available(SOD)]] + Table22[[#This Row],[Add Fund]] - Table22[[#This Row],[Withdraw Fund]]) - Table22[[#This Row],[Total]]</f>
        <v>70569.2</v>
      </c>
      <c r="K24" s="88">
        <f>IF(AND(Table22[[#This Row],[Total]] = 0,(Table22[[#This Row],[Available(EOD)]] - G25) &lt;= 0),"NA",G25-Table22[[#This Row],[Available(EOD)]])</f>
        <v>-70569.2</v>
      </c>
      <c r="L24" s="89" t="str">
        <f>IF(Table22[[#This Row],[Total]] = 0, "NA",(Table22[[#This Row],[Brokerage]]/Table22[[#This Row],[Total]])*100)</f>
        <v>NA</v>
      </c>
    </row>
    <row r="25" spans="1:14" x14ac:dyDescent="0.35">
      <c r="A25" s="93">
        <v>44342</v>
      </c>
      <c r="B25" s="93"/>
      <c r="F25">
        <f t="shared" si="0"/>
        <v>0</v>
      </c>
      <c r="J25">
        <f>(Table22[[#This Row],[Available(SOD)]] + Table22[[#This Row],[Add Fund]] - Table22[[#This Row],[Withdraw Fund]]) - Table22[[#This Row],[Total]]</f>
        <v>0</v>
      </c>
      <c r="K25" s="88" t="str">
        <f>IF(AND(Table22[[#This Row],[Total]] = 0,(Table22[[#This Row],[Available(EOD)]] - G26) &lt;= 0),"NA",G26-Table22[[#This Row],[Available(EOD)]])</f>
        <v>NA</v>
      </c>
      <c r="L25" s="89" t="str">
        <f>IF(Table22[[#This Row],[Total]] = 0, "NA",(Table22[[#This Row],[Brokerage]]/Table22[[#This Row],[Total]])*100)</f>
        <v>NA</v>
      </c>
    </row>
    <row r="26" spans="1:14" x14ac:dyDescent="0.35">
      <c r="A26" s="93">
        <v>44343</v>
      </c>
      <c r="B26" s="93"/>
      <c r="F26">
        <f t="shared" si="0"/>
        <v>0</v>
      </c>
      <c r="G26">
        <v>70569.2</v>
      </c>
      <c r="I26">
        <v>70500</v>
      </c>
      <c r="J26">
        <f>(Table22[[#This Row],[Available(SOD)]] + Table22[[#This Row],[Add Fund]] - Table22[[#This Row],[Withdraw Fund]]) - Table22[[#This Row],[Total]]</f>
        <v>69.19999999999709</v>
      </c>
      <c r="K26" s="88" t="str">
        <f>IF(AND(Table22[[#This Row],[Total]] = 0,(Table22[[#This Row],[Available(EOD)]] - G27) &lt;= 0),"NA",G27-Table22[[#This Row],[Available(EOD)]])</f>
        <v>NA</v>
      </c>
      <c r="L26" s="89" t="str">
        <f>IF(Table22[[#This Row],[Total]] = 0, "NA",(Table22[[#This Row],[Brokerage]]/Table22[[#This Row],[Total]])*100)</f>
        <v>NA</v>
      </c>
    </row>
    <row r="27" spans="1:14" x14ac:dyDescent="0.35">
      <c r="A27" s="93">
        <v>44344</v>
      </c>
      <c r="B27" s="93" t="s">
        <v>78</v>
      </c>
      <c r="C27" t="s">
        <v>104</v>
      </c>
      <c r="D27">
        <v>1</v>
      </c>
      <c r="E27">
        <v>45.3</v>
      </c>
      <c r="F27">
        <f t="shared" si="0"/>
        <v>45.3</v>
      </c>
      <c r="G27">
        <v>69.2</v>
      </c>
      <c r="H27">
        <v>3000</v>
      </c>
      <c r="J27">
        <f>(Table22[[#This Row],[Available(SOD)]] + Table22[[#This Row],[Add Fund]] - Table22[[#This Row],[Withdraw Fund]]) - Table22[[#This Row],[Total]]</f>
        <v>3023.8999999999996</v>
      </c>
      <c r="K27" s="88">
        <f>IF(AND(Table22[[#This Row],[Total]] = 0,(Table22[[#This Row],[Available(EOD)]] - G28) &lt;= 0),"NA",G28-Table22[[#This Row],[Available(EOD)]])</f>
        <v>-9.9999999999454303E-2</v>
      </c>
      <c r="L27" s="89">
        <f>IF(Table22[[#This Row],[Total]] = 0, "NA",(Table22[[#This Row],[Brokerage]]/Table22[[#This Row],[Total]])*100)</f>
        <v>-0.22075055187517506</v>
      </c>
    </row>
    <row r="28" spans="1:14" x14ac:dyDescent="0.35">
      <c r="A28" s="93">
        <v>44345</v>
      </c>
      <c r="B28" s="93"/>
      <c r="F28">
        <f t="shared" si="0"/>
        <v>0</v>
      </c>
      <c r="G28">
        <v>3023.8</v>
      </c>
      <c r="J28">
        <f>(Table22[[#This Row],[Available(SOD)]] + Table22[[#This Row],[Add Fund]] - Table22[[#This Row],[Withdraw Fund]]) - Table22[[#This Row],[Total]]</f>
        <v>3023.8</v>
      </c>
      <c r="K28" s="88">
        <f>IF(AND(Table22[[#This Row],[Total]] = 0,(Table22[[#This Row],[Available(EOD)]] - G29) &lt;= 0),"NA",G29-Table22[[#This Row],[Available(EOD)]])</f>
        <v>-3023.8</v>
      </c>
      <c r="L28" s="89" t="str">
        <f>IF(Table22[[#This Row],[Total]] = 0, "NA",(Table22[[#This Row],[Brokerage]]/Table22[[#This Row],[Total]])*100)</f>
        <v>NA</v>
      </c>
    </row>
    <row r="29" spans="1:14" x14ac:dyDescent="0.35">
      <c r="A29" s="95">
        <v>44346</v>
      </c>
      <c r="B29" s="95"/>
      <c r="C29" s="96"/>
      <c r="D29" s="96"/>
      <c r="E29" s="96"/>
      <c r="F29" s="96"/>
      <c r="G29" s="96"/>
      <c r="H29" s="96"/>
      <c r="I29" s="96"/>
      <c r="J29" s="96"/>
      <c r="K29" s="97"/>
      <c r="L29" s="98"/>
      <c r="M29" s="96"/>
      <c r="N29" s="96"/>
    </row>
    <row r="30" spans="1:14" x14ac:dyDescent="0.35">
      <c r="A30" s="93">
        <v>44347</v>
      </c>
      <c r="B30" s="93" t="s">
        <v>78</v>
      </c>
      <c r="C30" t="s">
        <v>104</v>
      </c>
      <c r="D30">
        <v>10</v>
      </c>
      <c r="E30">
        <v>49.7</v>
      </c>
      <c r="F30">
        <f t="shared" si="0"/>
        <v>497</v>
      </c>
      <c r="G30">
        <v>3023.8</v>
      </c>
      <c r="J30">
        <f>(Table22[[#This Row],[Available(SOD)]] + Table22[[#This Row],[Add Fund]] - Table22[[#This Row],[Withdraw Fund]]) - Table22[[#This Row],[Total]]</f>
        <v>2526.8000000000002</v>
      </c>
      <c r="K30" s="90"/>
      <c r="L30" s="89"/>
    </row>
    <row r="31" spans="1:14" x14ac:dyDescent="0.35">
      <c r="A31" s="93"/>
      <c r="B31" s="93"/>
      <c r="K31" s="90"/>
      <c r="L31" s="89"/>
    </row>
    <row r="32" spans="1:14" x14ac:dyDescent="0.35">
      <c r="A32" s="93"/>
      <c r="B32" s="93"/>
      <c r="K32" s="90"/>
      <c r="L32" s="89"/>
    </row>
  </sheetData>
  <conditionalFormatting sqref="B23:B27 B12:B14 B16:B21 A2:B6 B7:B10 A7:A28 A30:A32">
    <cfRule type="beginsWith" dxfId="73" priority="6" operator="beginsWith" text="Sunday">
      <formula>LEFT(A2,LEN("Sunday"))="Sunday"</formula>
    </cfRule>
  </conditionalFormatting>
  <conditionalFormatting sqref="B15">
    <cfRule type="beginsWith" dxfId="72" priority="5" operator="beginsWith" text="Sunday">
      <formula>LEFT(B15,LEN("Sunday"))="Sunday"</formula>
    </cfRule>
  </conditionalFormatting>
  <conditionalFormatting sqref="B22">
    <cfRule type="beginsWith" dxfId="71" priority="4" operator="beginsWith" text="Sunday">
      <formula>LEFT(B22,LEN("Sunday"))="Sunday"</formula>
    </cfRule>
  </conditionalFormatting>
  <conditionalFormatting sqref="A29">
    <cfRule type="beginsWith" dxfId="70" priority="2" operator="beginsWith" text="Sunday">
      <formula>LEFT(A29,LEN("Sunday"))="Sunday"</formula>
    </cfRule>
  </conditionalFormatting>
  <conditionalFormatting sqref="B29">
    <cfRule type="beginsWith" dxfId="69" priority="1" operator="beginsWith" text="Sunday">
      <formula>LEFT(B29,LEN("Sunday"))="Sunday"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8"/>
  <sheetViews>
    <sheetView showGridLines="0" workbookViewId="0">
      <selection activeCell="I4" sqref="I4:I38"/>
    </sheetView>
  </sheetViews>
  <sheetFormatPr defaultRowHeight="14.5" x14ac:dyDescent="0.35"/>
  <cols>
    <col min="2" max="2" width="6.54296875" customWidth="1"/>
    <col min="3" max="3" width="11.54296875" customWidth="1"/>
    <col min="4" max="4" width="26.26953125" customWidth="1"/>
    <col min="5" max="5" width="26.26953125" style="1" customWidth="1"/>
    <col min="6" max="6" width="26.26953125" customWidth="1"/>
    <col min="7" max="7" width="15.81640625" customWidth="1"/>
    <col min="8" max="8" width="17.54296875" customWidth="1"/>
    <col min="10" max="10" width="5.7265625" customWidth="1"/>
    <col min="11" max="11" width="33.26953125" customWidth="1"/>
  </cols>
  <sheetData>
    <row r="1" spans="1:11" x14ac:dyDescent="0.35">
      <c r="A1" s="12"/>
      <c r="B1" s="12"/>
      <c r="C1" s="12"/>
      <c r="D1" s="19"/>
      <c r="E1" s="21"/>
      <c r="F1" s="19"/>
    </row>
    <row r="2" spans="1:11" x14ac:dyDescent="0.35">
      <c r="A2" s="12"/>
      <c r="B2" s="12"/>
      <c r="C2" s="12"/>
      <c r="D2" s="19"/>
      <c r="E2" s="21"/>
      <c r="F2" s="19"/>
    </row>
    <row r="3" spans="1:11" ht="39" x14ac:dyDescent="0.35">
      <c r="A3" s="12"/>
      <c r="B3" s="31" t="s">
        <v>23</v>
      </c>
      <c r="C3" s="31" t="s">
        <v>0</v>
      </c>
      <c r="D3" s="31" t="s">
        <v>38</v>
      </c>
      <c r="E3" s="31" t="s">
        <v>39</v>
      </c>
      <c r="F3" s="31" t="s">
        <v>40</v>
      </c>
      <c r="G3" s="31" t="s">
        <v>2</v>
      </c>
      <c r="H3" s="31" t="s">
        <v>29</v>
      </c>
      <c r="I3" s="31" t="s">
        <v>43</v>
      </c>
    </row>
    <row r="4" spans="1:11" x14ac:dyDescent="0.35">
      <c r="A4" s="12"/>
      <c r="B4" s="29">
        <v>1</v>
      </c>
      <c r="C4" s="45"/>
      <c r="D4" s="5"/>
      <c r="E4" s="5"/>
      <c r="F4" s="5"/>
      <c r="G4" s="65"/>
      <c r="H4" s="6"/>
      <c r="I4" s="6"/>
    </row>
    <row r="5" spans="1:11" ht="17.25" customHeight="1" x14ac:dyDescent="0.35">
      <c r="A5" s="12"/>
      <c r="B5" s="29">
        <v>2</v>
      </c>
      <c r="C5" s="45"/>
      <c r="D5" s="8"/>
      <c r="E5" s="7"/>
      <c r="F5" s="8"/>
      <c r="G5" s="7"/>
      <c r="H5" s="6"/>
      <c r="I5" s="6"/>
      <c r="K5" s="81" t="s">
        <v>46</v>
      </c>
    </row>
    <row r="6" spans="1:11" ht="18.75" customHeight="1" x14ac:dyDescent="0.35">
      <c r="A6" s="12"/>
      <c r="B6" s="29">
        <v>3</v>
      </c>
      <c r="C6" s="45"/>
      <c r="D6" s="7"/>
      <c r="E6" s="7"/>
      <c r="F6" s="7"/>
      <c r="G6" s="9"/>
      <c r="H6" s="6"/>
      <c r="I6" s="6"/>
      <c r="K6" s="82" t="s">
        <v>41</v>
      </c>
    </row>
    <row r="7" spans="1:11" x14ac:dyDescent="0.35">
      <c r="A7" s="12"/>
      <c r="B7" s="29">
        <v>4</v>
      </c>
      <c r="C7" s="45"/>
      <c r="D7" s="7"/>
      <c r="E7" s="7"/>
      <c r="F7" s="7"/>
      <c r="G7" s="7"/>
      <c r="H7" s="6"/>
      <c r="I7" s="6"/>
    </row>
    <row r="8" spans="1:11" x14ac:dyDescent="0.35">
      <c r="A8" s="12"/>
      <c r="B8" s="29">
        <v>5</v>
      </c>
      <c r="C8" s="45"/>
      <c r="D8" s="7"/>
      <c r="E8" s="7"/>
      <c r="F8" s="7"/>
      <c r="G8" s="7"/>
      <c r="H8" s="6"/>
      <c r="I8" s="6"/>
    </row>
    <row r="9" spans="1:11" x14ac:dyDescent="0.35">
      <c r="A9" s="12"/>
      <c r="B9" s="29">
        <v>6</v>
      </c>
      <c r="C9" s="45"/>
      <c r="D9" s="7"/>
      <c r="E9" s="7"/>
      <c r="F9" s="7"/>
      <c r="G9" s="7"/>
      <c r="H9" s="6"/>
      <c r="I9" s="6"/>
    </row>
    <row r="10" spans="1:11" x14ac:dyDescent="0.35">
      <c r="A10" s="12"/>
      <c r="B10" s="29">
        <v>7</v>
      </c>
      <c r="C10" s="45"/>
      <c r="D10" s="7"/>
      <c r="E10" s="7"/>
      <c r="F10" s="7"/>
      <c r="G10" s="7"/>
      <c r="H10" s="6"/>
      <c r="I10" s="6"/>
    </row>
    <row r="11" spans="1:11" x14ac:dyDescent="0.35">
      <c r="A11" s="12"/>
      <c r="B11" s="29">
        <v>8</v>
      </c>
      <c r="C11" s="59"/>
      <c r="D11" s="63"/>
      <c r="E11" s="41"/>
      <c r="F11" s="63"/>
      <c r="G11" s="64"/>
      <c r="H11" s="65"/>
      <c r="I11" s="6"/>
    </row>
    <row r="12" spans="1:11" x14ac:dyDescent="0.35">
      <c r="A12" s="12"/>
      <c r="B12" s="29">
        <v>9</v>
      </c>
      <c r="C12" s="45"/>
      <c r="D12" s="8"/>
      <c r="E12" s="7"/>
      <c r="F12" s="7"/>
      <c r="G12" s="7"/>
      <c r="H12" s="6"/>
      <c r="I12" s="6"/>
    </row>
    <row r="13" spans="1:11" x14ac:dyDescent="0.35">
      <c r="A13" s="12"/>
      <c r="B13" s="29">
        <v>10</v>
      </c>
      <c r="C13" s="45"/>
      <c r="D13" s="8"/>
      <c r="E13" s="7"/>
      <c r="F13" s="7"/>
      <c r="G13" s="7"/>
      <c r="H13" s="6"/>
      <c r="I13" s="6"/>
    </row>
    <row r="14" spans="1:11" x14ac:dyDescent="0.35">
      <c r="A14" s="12"/>
      <c r="B14" s="29">
        <v>11</v>
      </c>
      <c r="C14" s="45"/>
      <c r="D14" s="8"/>
      <c r="E14" s="7"/>
      <c r="F14" s="7"/>
      <c r="G14" s="7"/>
      <c r="H14" s="6"/>
      <c r="I14" s="6"/>
    </row>
    <row r="15" spans="1:11" x14ac:dyDescent="0.35">
      <c r="A15" s="12"/>
      <c r="B15" s="29">
        <v>12</v>
      </c>
      <c r="C15" s="45"/>
      <c r="D15" s="7"/>
      <c r="E15" s="7"/>
      <c r="F15" s="7"/>
      <c r="G15" s="7"/>
      <c r="H15" s="6"/>
      <c r="I15" s="6"/>
    </row>
    <row r="16" spans="1:11" x14ac:dyDescent="0.35">
      <c r="A16" s="12"/>
      <c r="B16" s="29">
        <v>13</v>
      </c>
      <c r="C16" s="45"/>
      <c r="D16" s="7"/>
      <c r="E16" s="7"/>
      <c r="F16" s="7"/>
      <c r="G16" s="7"/>
      <c r="H16" s="5"/>
      <c r="I16" s="6"/>
    </row>
    <row r="17" spans="1:9" x14ac:dyDescent="0.35">
      <c r="A17" s="12"/>
      <c r="B17" s="29">
        <v>14</v>
      </c>
      <c r="C17" s="45"/>
      <c r="D17" s="7"/>
      <c r="E17" s="7"/>
      <c r="F17" s="7"/>
      <c r="G17" s="7"/>
      <c r="H17" s="5"/>
      <c r="I17" s="6"/>
    </row>
    <row r="18" spans="1:9" x14ac:dyDescent="0.35">
      <c r="A18" s="12"/>
      <c r="B18" s="29">
        <v>15</v>
      </c>
      <c r="C18" s="45"/>
      <c r="D18" s="8"/>
      <c r="E18" s="7"/>
      <c r="F18" s="7"/>
      <c r="G18" s="7"/>
      <c r="H18" s="6"/>
      <c r="I18" s="6"/>
    </row>
    <row r="19" spans="1:9" x14ac:dyDescent="0.35">
      <c r="A19" s="12"/>
      <c r="B19" s="29">
        <v>16</v>
      </c>
      <c r="C19" s="45"/>
      <c r="D19" s="7"/>
      <c r="E19" s="7"/>
      <c r="F19" s="7"/>
      <c r="G19" s="7"/>
      <c r="H19" s="6"/>
      <c r="I19" s="6"/>
    </row>
    <row r="20" spans="1:9" x14ac:dyDescent="0.35">
      <c r="A20" s="12"/>
      <c r="B20" s="29">
        <v>17</v>
      </c>
      <c r="C20" s="44"/>
      <c r="D20" s="68"/>
      <c r="E20" s="5"/>
      <c r="F20" s="5"/>
      <c r="G20" s="7"/>
      <c r="H20" s="6"/>
      <c r="I20" s="6"/>
    </row>
    <row r="21" spans="1:9" x14ac:dyDescent="0.35">
      <c r="A21" s="12"/>
      <c r="B21" s="29">
        <v>18</v>
      </c>
      <c r="C21" s="44"/>
      <c r="D21" s="5"/>
      <c r="E21" s="5"/>
      <c r="F21" s="5"/>
      <c r="G21" s="7"/>
      <c r="H21" s="6"/>
      <c r="I21" s="6"/>
    </row>
    <row r="22" spans="1:9" x14ac:dyDescent="0.35">
      <c r="A22" s="12"/>
      <c r="B22" s="29">
        <v>19</v>
      </c>
      <c r="C22" s="44"/>
      <c r="D22" s="5"/>
      <c r="E22" s="7"/>
      <c r="F22" s="7"/>
      <c r="G22" s="7"/>
      <c r="H22" s="6"/>
      <c r="I22" s="6"/>
    </row>
    <row r="23" spans="1:9" x14ac:dyDescent="0.35">
      <c r="A23" s="12"/>
      <c r="B23" s="29">
        <v>20</v>
      </c>
      <c r="C23" s="44"/>
      <c r="D23" s="68"/>
      <c r="E23" s="7"/>
      <c r="F23" s="8"/>
      <c r="G23" s="7"/>
      <c r="H23" s="6"/>
      <c r="I23" s="6"/>
    </row>
    <row r="24" spans="1:9" x14ac:dyDescent="0.35">
      <c r="A24" s="12"/>
      <c r="B24" s="29">
        <v>21</v>
      </c>
      <c r="C24" s="44"/>
      <c r="D24" s="5"/>
      <c r="E24" s="7"/>
      <c r="F24" s="7"/>
      <c r="G24" s="7"/>
      <c r="H24" s="6"/>
      <c r="I24" s="6"/>
    </row>
    <row r="25" spans="1:9" x14ac:dyDescent="0.35">
      <c r="A25" s="12"/>
      <c r="B25" s="29">
        <v>22</v>
      </c>
      <c r="C25" s="44"/>
      <c r="D25" s="5"/>
      <c r="E25" s="7"/>
      <c r="F25" s="7"/>
      <c r="G25" s="7"/>
      <c r="H25" s="6"/>
      <c r="I25" s="6"/>
    </row>
    <row r="26" spans="1:9" x14ac:dyDescent="0.35">
      <c r="A26" s="12"/>
      <c r="B26" s="29">
        <v>23</v>
      </c>
      <c r="C26" s="44"/>
      <c r="D26" s="68"/>
      <c r="E26" s="7"/>
      <c r="F26" s="7"/>
      <c r="G26" s="7"/>
      <c r="H26" s="6"/>
      <c r="I26" s="6"/>
    </row>
    <row r="27" spans="1:9" x14ac:dyDescent="0.35">
      <c r="A27" s="12"/>
      <c r="B27" s="29">
        <v>24</v>
      </c>
      <c r="C27" s="44"/>
      <c r="D27" s="68"/>
      <c r="E27" s="7"/>
      <c r="F27" s="7"/>
      <c r="G27" s="7"/>
      <c r="H27" s="6"/>
      <c r="I27" s="6"/>
    </row>
    <row r="28" spans="1:9" x14ac:dyDescent="0.35">
      <c r="A28" s="12"/>
      <c r="B28" s="29">
        <v>25</v>
      </c>
      <c r="C28" s="44"/>
      <c r="D28" s="68"/>
      <c r="E28" s="7"/>
      <c r="F28" s="7"/>
      <c r="G28" s="7"/>
      <c r="H28" s="6"/>
      <c r="I28" s="6"/>
    </row>
    <row r="29" spans="1:9" x14ac:dyDescent="0.35">
      <c r="A29" s="12"/>
      <c r="B29" s="29">
        <v>26</v>
      </c>
      <c r="C29" s="44"/>
      <c r="D29" s="5"/>
      <c r="E29" s="7"/>
      <c r="F29" s="7"/>
      <c r="G29" s="7"/>
      <c r="H29" s="6"/>
      <c r="I29" s="6"/>
    </row>
    <row r="30" spans="1:9" x14ac:dyDescent="0.35">
      <c r="A30" s="12"/>
      <c r="B30" s="29">
        <v>27</v>
      </c>
      <c r="C30" s="75"/>
      <c r="D30" s="68"/>
      <c r="E30" s="7"/>
      <c r="F30" s="63"/>
      <c r="G30" s="64"/>
      <c r="H30" s="65"/>
      <c r="I30" s="6"/>
    </row>
    <row r="31" spans="1:9" x14ac:dyDescent="0.35">
      <c r="A31" s="12"/>
      <c r="B31" s="29">
        <v>28</v>
      </c>
      <c r="C31" s="75"/>
      <c r="D31" s="10"/>
      <c r="E31" s="70"/>
      <c r="F31" s="66"/>
      <c r="G31" s="64"/>
      <c r="H31" s="65"/>
      <c r="I31" s="6"/>
    </row>
    <row r="32" spans="1:9" x14ac:dyDescent="0.35">
      <c r="A32" s="12"/>
      <c r="B32" s="29">
        <v>29</v>
      </c>
      <c r="C32" s="75"/>
      <c r="D32" s="7"/>
      <c r="E32" s="7"/>
      <c r="F32" s="41"/>
      <c r="G32" s="64"/>
      <c r="H32" s="65"/>
      <c r="I32" s="6"/>
    </row>
    <row r="33" spans="1:9" x14ac:dyDescent="0.35">
      <c r="A33" s="12"/>
      <c r="B33" s="29">
        <v>30</v>
      </c>
      <c r="C33" s="75"/>
      <c r="D33" s="8"/>
      <c r="E33" s="7"/>
      <c r="F33" s="63"/>
      <c r="G33" s="64"/>
      <c r="H33" s="65"/>
      <c r="I33" s="6"/>
    </row>
    <row r="34" spans="1:9" x14ac:dyDescent="0.35">
      <c r="A34" s="12"/>
      <c r="B34" s="29">
        <v>31</v>
      </c>
      <c r="C34" s="75"/>
      <c r="D34" s="7"/>
      <c r="E34" s="7"/>
      <c r="F34" s="41"/>
      <c r="G34" s="64"/>
      <c r="H34" s="65"/>
      <c r="I34" s="6"/>
    </row>
    <row r="35" spans="1:9" x14ac:dyDescent="0.35">
      <c r="A35" s="12"/>
      <c r="B35" s="29">
        <v>32</v>
      </c>
      <c r="C35" s="75"/>
      <c r="D35" s="7"/>
      <c r="E35" s="7"/>
      <c r="F35" s="41"/>
      <c r="G35" s="64"/>
      <c r="H35" s="65"/>
      <c r="I35" s="6"/>
    </row>
    <row r="36" spans="1:9" x14ac:dyDescent="0.35">
      <c r="B36" s="29">
        <v>33</v>
      </c>
      <c r="C36" s="75"/>
      <c r="D36" s="7"/>
      <c r="E36" s="7"/>
      <c r="F36" s="41"/>
      <c r="G36" s="64"/>
      <c r="H36" s="64"/>
      <c r="I36" s="6"/>
    </row>
    <row r="37" spans="1:9" x14ac:dyDescent="0.35">
      <c r="B37" s="29">
        <v>34</v>
      </c>
      <c r="C37" s="44"/>
      <c r="D37" s="8"/>
      <c r="E37" s="7"/>
      <c r="F37" s="7"/>
      <c r="G37" s="7"/>
      <c r="H37" s="9"/>
      <c r="I37" s="6"/>
    </row>
    <row r="38" spans="1:9" x14ac:dyDescent="0.35">
      <c r="B38" s="29">
        <v>35</v>
      </c>
      <c r="C38" s="44"/>
      <c r="D38" s="7"/>
      <c r="E38" s="7"/>
      <c r="F38" s="7"/>
      <c r="G38" s="7"/>
      <c r="H38" s="7"/>
      <c r="I38" s="6"/>
    </row>
  </sheetData>
  <dataValidations count="2">
    <dataValidation type="list" allowBlank="1" showInputMessage="1" showErrorMessage="1" sqref="H4:H35" xr:uid="{00000000-0002-0000-1200-000000000000}">
      <formula1>"WIP, Completed"</formula1>
    </dataValidation>
    <dataValidation type="list" allowBlank="1" showInputMessage="1" showErrorMessage="1" sqref="I4:I38" xr:uid="{00000000-0002-0000-1200-000001000000}">
      <formula1>"Week 1, Week 2, Week 3, Week 4,Week 5"</formula1>
    </dataValidation>
  </dataValidation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3:K18"/>
  <sheetViews>
    <sheetView showGridLines="0" workbookViewId="0">
      <selection activeCell="J14" sqref="J14"/>
    </sheetView>
  </sheetViews>
  <sheetFormatPr defaultRowHeight="14.5" x14ac:dyDescent="0.35"/>
  <cols>
    <col min="2" max="2" width="6.1796875" bestFit="1" customWidth="1"/>
    <col min="3" max="3" width="11.54296875" bestFit="1" customWidth="1"/>
    <col min="4" max="4" width="33.81640625" bestFit="1" customWidth="1"/>
    <col min="5" max="5" width="18.453125" customWidth="1"/>
    <col min="6" max="6" width="23.1796875" customWidth="1"/>
    <col min="7" max="7" width="18" bestFit="1" customWidth="1"/>
    <col min="8" max="8" width="17.453125" bestFit="1" customWidth="1"/>
  </cols>
  <sheetData>
    <row r="3" spans="2:11" ht="52" x14ac:dyDescent="0.35">
      <c r="B3" s="31" t="s">
        <v>23</v>
      </c>
      <c r="C3" s="31" t="s">
        <v>0</v>
      </c>
      <c r="D3" s="31" t="s">
        <v>38</v>
      </c>
      <c r="E3" s="31" t="s">
        <v>39</v>
      </c>
      <c r="F3" s="31" t="s">
        <v>40</v>
      </c>
      <c r="G3" s="31" t="s">
        <v>2</v>
      </c>
      <c r="H3" s="31" t="s">
        <v>29</v>
      </c>
      <c r="I3" s="31" t="s">
        <v>43</v>
      </c>
    </row>
    <row r="4" spans="2:11" x14ac:dyDescent="0.35">
      <c r="B4" s="29">
        <v>1</v>
      </c>
      <c r="C4" s="32"/>
      <c r="D4" s="5"/>
      <c r="E4" s="5"/>
      <c r="F4" s="6"/>
      <c r="G4" s="6"/>
      <c r="H4" s="6"/>
      <c r="I4" s="6"/>
      <c r="K4" s="69" t="s">
        <v>41</v>
      </c>
    </row>
    <row r="5" spans="2:11" x14ac:dyDescent="0.35">
      <c r="B5" s="30">
        <v>2</v>
      </c>
      <c r="C5" s="32"/>
      <c r="D5" s="8"/>
      <c r="E5" s="5"/>
      <c r="F5" s="9"/>
      <c r="G5" s="6"/>
      <c r="H5" s="6"/>
      <c r="I5" s="6"/>
    </row>
    <row r="6" spans="2:11" x14ac:dyDescent="0.35">
      <c r="B6" s="30">
        <v>3</v>
      </c>
      <c r="C6" s="59"/>
      <c r="D6" s="8"/>
      <c r="E6" s="8"/>
      <c r="F6" s="8"/>
      <c r="G6" s="9"/>
      <c r="H6" s="6"/>
      <c r="I6" s="6"/>
    </row>
    <row r="7" spans="2:11" x14ac:dyDescent="0.35">
      <c r="B7" s="30">
        <v>4</v>
      </c>
      <c r="C7" s="60"/>
      <c r="D7" s="10"/>
      <c r="E7" s="10"/>
      <c r="F7" s="10"/>
      <c r="G7" s="9"/>
      <c r="H7" s="6"/>
      <c r="I7" s="6"/>
    </row>
    <row r="8" spans="2:11" x14ac:dyDescent="0.35">
      <c r="B8" s="30">
        <v>5</v>
      </c>
      <c r="C8" s="45"/>
      <c r="D8" s="7"/>
      <c r="E8" s="7"/>
      <c r="F8" s="7"/>
      <c r="G8" s="9"/>
      <c r="H8" s="6"/>
      <c r="I8" s="6"/>
    </row>
    <row r="9" spans="2:11" x14ac:dyDescent="0.35">
      <c r="B9" s="30">
        <v>6</v>
      </c>
      <c r="C9" s="59"/>
      <c r="D9" s="8"/>
      <c r="E9" s="8"/>
      <c r="F9" s="8"/>
      <c r="G9" s="10"/>
      <c r="H9" s="6"/>
      <c r="I9" s="6"/>
    </row>
    <row r="10" spans="2:11" x14ac:dyDescent="0.35">
      <c r="B10" s="30">
        <v>7</v>
      </c>
      <c r="C10" s="45"/>
      <c r="D10" s="7"/>
      <c r="E10" s="7"/>
      <c r="F10" s="7"/>
      <c r="G10" s="10"/>
      <c r="H10" s="6"/>
      <c r="I10" s="6"/>
    </row>
    <row r="11" spans="2:11" x14ac:dyDescent="0.35">
      <c r="B11" s="30">
        <v>8</v>
      </c>
      <c r="C11" s="45"/>
      <c r="D11" s="7"/>
      <c r="E11" s="7"/>
      <c r="F11" s="7"/>
      <c r="G11" s="10"/>
      <c r="H11" s="6"/>
      <c r="I11" s="6"/>
    </row>
    <row r="12" spans="2:11" x14ac:dyDescent="0.35">
      <c r="B12" s="30">
        <v>9</v>
      </c>
      <c r="C12" s="45"/>
      <c r="D12" s="7"/>
      <c r="E12" s="7"/>
      <c r="F12" s="7"/>
      <c r="G12" s="10"/>
      <c r="H12" s="6"/>
      <c r="I12" s="6"/>
    </row>
    <row r="13" spans="2:11" x14ac:dyDescent="0.35">
      <c r="B13" s="30">
        <v>10</v>
      </c>
      <c r="C13" s="45"/>
      <c r="D13" s="7"/>
      <c r="E13" s="7"/>
      <c r="F13" s="7"/>
      <c r="G13" s="10"/>
      <c r="H13" s="6"/>
      <c r="I13" s="6"/>
    </row>
    <row r="14" spans="2:11" x14ac:dyDescent="0.35">
      <c r="B14" s="30">
        <v>11</v>
      </c>
      <c r="C14" s="7"/>
      <c r="D14" s="7"/>
      <c r="E14" s="7"/>
      <c r="F14" s="7"/>
      <c r="G14" s="10"/>
      <c r="H14" s="6"/>
      <c r="I14" s="6"/>
    </row>
    <row r="15" spans="2:11" x14ac:dyDescent="0.35">
      <c r="B15" s="30">
        <v>12</v>
      </c>
      <c r="C15" s="7"/>
      <c r="D15" s="7"/>
      <c r="E15" s="7"/>
      <c r="F15" s="7"/>
      <c r="G15" s="10"/>
      <c r="H15" s="6"/>
      <c r="I15" s="6"/>
    </row>
    <row r="16" spans="2:11" x14ac:dyDescent="0.35">
      <c r="B16" s="30">
        <v>13</v>
      </c>
      <c r="C16" s="7"/>
      <c r="D16" s="7"/>
      <c r="E16" s="7"/>
      <c r="F16" s="7"/>
      <c r="G16" s="7"/>
      <c r="H16" s="7"/>
      <c r="I16" s="6"/>
    </row>
    <row r="17" spans="2:9" x14ac:dyDescent="0.35">
      <c r="B17" s="30">
        <v>14</v>
      </c>
      <c r="C17" s="7"/>
      <c r="D17" s="7"/>
      <c r="E17" s="7"/>
      <c r="F17" s="7"/>
      <c r="G17" s="7"/>
      <c r="H17" s="6"/>
      <c r="I17" s="6"/>
    </row>
    <row r="18" spans="2:9" x14ac:dyDescent="0.35">
      <c r="B18" s="30">
        <v>15</v>
      </c>
      <c r="C18" s="7"/>
      <c r="D18" s="7"/>
      <c r="E18" s="7"/>
      <c r="F18" s="7"/>
      <c r="G18" s="7"/>
      <c r="H18" s="6"/>
      <c r="I18" s="6"/>
    </row>
  </sheetData>
  <dataValidations count="2">
    <dataValidation type="list" allowBlank="1" showInputMessage="1" showErrorMessage="1" sqref="H17:H18 H4:H15" xr:uid="{00000000-0002-0000-1300-000000000000}">
      <formula1>"WIP, Completed"</formula1>
    </dataValidation>
    <dataValidation type="list" allowBlank="1" showInputMessage="1" showErrorMessage="1" sqref="I4:I18" xr:uid="{00000000-0002-0000-1300-000001000000}">
      <formula1>"Week 1, Week 2, Week 3, Week 4,Week 5"</formula1>
    </dataValidation>
  </dataValidations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2"/>
  <sheetViews>
    <sheetView topLeftCell="A10" zoomScale="90" zoomScaleNormal="90" workbookViewId="0">
      <selection activeCell="E22" sqref="E22"/>
    </sheetView>
  </sheetViews>
  <sheetFormatPr defaultRowHeight="14.5" x14ac:dyDescent="0.35"/>
  <cols>
    <col min="1" max="1" width="23.54296875" style="92" customWidth="1"/>
    <col min="2" max="2" width="7.54296875" style="92" customWidth="1"/>
    <col min="3" max="3" width="15.26953125" bestFit="1" customWidth="1"/>
    <col min="4" max="4" width="6.7265625" customWidth="1"/>
    <col min="5" max="5" width="15.54296875" customWidth="1"/>
    <col min="7" max="7" width="15.1796875" customWidth="1"/>
    <col min="8" max="8" width="8.7265625" customWidth="1"/>
    <col min="9" max="9" width="9" customWidth="1"/>
    <col min="10" max="10" width="12" customWidth="1"/>
    <col min="11" max="11" width="13.08984375" customWidth="1"/>
    <col min="12" max="12" width="11.54296875" customWidth="1"/>
    <col min="13" max="13" width="50.1796875" bestFit="1" customWidth="1"/>
    <col min="14" max="14" width="18.08984375" customWidth="1"/>
  </cols>
  <sheetData>
    <row r="1" spans="1:14" x14ac:dyDescent="0.35">
      <c r="A1" s="92" t="s">
        <v>0</v>
      </c>
      <c r="B1" s="92" t="s">
        <v>77</v>
      </c>
      <c r="C1" t="s">
        <v>66</v>
      </c>
      <c r="D1" t="s">
        <v>67</v>
      </c>
      <c r="E1" t="s">
        <v>68</v>
      </c>
      <c r="F1" t="s">
        <v>72</v>
      </c>
      <c r="G1" t="s">
        <v>69</v>
      </c>
      <c r="H1" t="s">
        <v>80</v>
      </c>
      <c r="I1" t="s">
        <v>81</v>
      </c>
      <c r="J1" t="s">
        <v>70</v>
      </c>
      <c r="K1" t="s">
        <v>73</v>
      </c>
      <c r="L1" t="s">
        <v>74</v>
      </c>
      <c r="M1" t="s">
        <v>75</v>
      </c>
      <c r="N1" t="s">
        <v>76</v>
      </c>
    </row>
    <row r="2" spans="1:14" x14ac:dyDescent="0.35">
      <c r="A2" s="93">
        <v>44348</v>
      </c>
      <c r="B2" s="93" t="s">
        <v>78</v>
      </c>
      <c r="C2" t="s">
        <v>104</v>
      </c>
      <c r="D2" s="91">
        <v>340</v>
      </c>
      <c r="E2">
        <v>52.44</v>
      </c>
      <c r="F2">
        <f>D2*E2</f>
        <v>17829.599999999999</v>
      </c>
      <c r="G2">
        <v>2525.8000000000002</v>
      </c>
      <c r="H2">
        <v>52000</v>
      </c>
      <c r="J2">
        <f>(Table224[[#This Row],[Available(SOD)]] + Table224[[#This Row],[Add Fund]] - Table224[[#This Row],[Withdraw Fund]]) - Table224[[#This Row],[Total]]</f>
        <v>36696.200000000004</v>
      </c>
      <c r="K2" s="88">
        <f>IF(AND(Table224[[#This Row],[Total]] = 0,(Table224[[#This Row],[Available(EOD)]] - G3) &lt;= 0),"NA",G3-Table224[[#This Row],[Available(EOD)]])</f>
        <v>-21.600000000005821</v>
      </c>
      <c r="L2" s="89">
        <f>IF(Table224[[#This Row],[Total]] = 0, "NA",(Table224[[#This Row],[Brokerage]]/Table224[[#This Row],[Total]])*100)</f>
        <v>-0.12114685691213389</v>
      </c>
      <c r="M2" t="s">
        <v>108</v>
      </c>
    </row>
    <row r="3" spans="1:14" x14ac:dyDescent="0.35">
      <c r="A3" s="93">
        <v>44349</v>
      </c>
      <c r="B3" s="93"/>
      <c r="G3">
        <v>36674.6</v>
      </c>
      <c r="J3">
        <f>(Table224[[#This Row],[Available(SOD)]] + Table224[[#This Row],[Add Fund]] - Table224[[#This Row],[Withdraw Fund]]) - Table224[[#This Row],[Total]]</f>
        <v>36674.6</v>
      </c>
      <c r="K3" s="88" t="str">
        <f>IF(AND(Table224[[#This Row],[Total]] = 0,(Table224[[#This Row],[Available(EOD)]] - G4) &lt;= 0),"NA",G4-Table224[[#This Row],[Available(EOD)]])</f>
        <v>NA</v>
      </c>
      <c r="L3" s="89" t="str">
        <f>IF(Table224[[#This Row],[Total]] = 0, "NA",(Table224[[#This Row],[Brokerage]]/Table224[[#This Row],[Total]])*100)</f>
        <v>NA</v>
      </c>
    </row>
    <row r="4" spans="1:14" x14ac:dyDescent="0.35">
      <c r="A4" s="93">
        <v>44350</v>
      </c>
      <c r="B4" s="93" t="s">
        <v>78</v>
      </c>
      <c r="C4" t="s">
        <v>105</v>
      </c>
      <c r="D4">
        <v>75</v>
      </c>
      <c r="E4">
        <v>43.83</v>
      </c>
      <c r="F4">
        <f t="shared" ref="F4:F30" si="0">D4*E4</f>
        <v>3287.25</v>
      </c>
      <c r="G4">
        <v>36674.6</v>
      </c>
      <c r="J4">
        <f>(Table224[[#This Row],[Available(SOD)]] + Table224[[#This Row],[Add Fund]] - Table224[[#This Row],[Withdraw Fund]]) - Table224[[#This Row],[Total]]</f>
        <v>33387.35</v>
      </c>
      <c r="K4" s="88">
        <f>IF(AND(Table224[[#This Row],[Total]] = 0,(Table224[[#This Row],[Available(EOD)]] - G5) &lt;= 0),"NA",G5-Table224[[#This Row],[Available(EOD)]])</f>
        <v>-3.4499999999970896</v>
      </c>
      <c r="L4" s="89">
        <f>IF(Table224[[#This Row],[Total]] = 0, "NA",(Table224[[#This Row],[Brokerage]]/Table224[[#This Row],[Total]])*100)</f>
        <v>-0.10495094683997536</v>
      </c>
      <c r="M4" t="s">
        <v>107</v>
      </c>
    </row>
    <row r="5" spans="1:14" x14ac:dyDescent="0.35">
      <c r="A5" s="93">
        <v>44351</v>
      </c>
      <c r="B5" s="93"/>
      <c r="F5">
        <f t="shared" si="0"/>
        <v>0</v>
      </c>
      <c r="G5">
        <v>33383.9</v>
      </c>
      <c r="J5">
        <f>(Table224[[#This Row],[Available(SOD)]] + Table224[[#This Row],[Add Fund]] - Table224[[#This Row],[Withdraw Fund]]) - Table224[[#This Row],[Total]]</f>
        <v>33383.9</v>
      </c>
      <c r="K5" s="88" t="str">
        <f>IF(AND(Table224[[#This Row],[Total]] = 0,(Table224[[#This Row],[Available(EOD)]] - G6) &lt;= 0),"NA",G6-Table224[[#This Row],[Available(EOD)]])</f>
        <v>NA</v>
      </c>
      <c r="L5" s="89" t="str">
        <f>IF(Table224[[#This Row],[Total]] = 0, "NA",(Table224[[#This Row],[Brokerage]]/Table224[[#This Row],[Total]])*100)</f>
        <v>NA</v>
      </c>
    </row>
    <row r="6" spans="1:14" x14ac:dyDescent="0.35">
      <c r="A6" s="93">
        <v>44352</v>
      </c>
      <c r="B6" s="93"/>
      <c r="E6" s="94"/>
      <c r="F6">
        <f t="shared" si="0"/>
        <v>0</v>
      </c>
      <c r="G6">
        <v>33383.9</v>
      </c>
      <c r="J6">
        <f>(Table224[[#This Row],[Available(SOD)]] + Table224[[#This Row],[Add Fund]] - Table224[[#This Row],[Withdraw Fund]]) - Table224[[#This Row],[Total]]</f>
        <v>33383.9</v>
      </c>
      <c r="K6" s="88" t="s">
        <v>96</v>
      </c>
      <c r="L6" s="99" t="str">
        <f>IF(Table224[[#This Row],[Total]] = 0, "NA",(Table224[[#This Row],[Brokerage]]/Table224[[#This Row],[Total]])*100)</f>
        <v>NA</v>
      </c>
    </row>
    <row r="7" spans="1:14" x14ac:dyDescent="0.35">
      <c r="A7" s="95">
        <v>44353</v>
      </c>
      <c r="B7" s="96"/>
      <c r="C7" s="96"/>
      <c r="D7" s="96"/>
      <c r="E7" s="96"/>
      <c r="F7" s="96">
        <f t="shared" si="0"/>
        <v>0</v>
      </c>
      <c r="G7" s="96"/>
      <c r="H7" s="96"/>
      <c r="I7" s="96"/>
      <c r="J7" s="96">
        <f>(Table224[[#This Row],[Available(SOD)]] + Table224[[#This Row],[Add Fund]] - Table224[[#This Row],[Withdraw Fund]]) - Table224[[#This Row],[Total]]</f>
        <v>0</v>
      </c>
      <c r="K7" s="96" t="str">
        <f>IF(AND(Table224[[#This Row],[Total]] = 0,(Table224[[#This Row],[Available(EOD)]] - G8) &lt;= 0),"NA",G8-Table224[[#This Row],[Available(EOD)]])</f>
        <v>NA</v>
      </c>
      <c r="L7" s="96" t="str">
        <f>IF(Table224[[#This Row],[Total]] = 0, "NA",(Table224[[#This Row],[Brokerage]]/Table224[[#This Row],[Total]])*100)</f>
        <v>NA</v>
      </c>
      <c r="M7" s="96"/>
    </row>
    <row r="8" spans="1:14" x14ac:dyDescent="0.35">
      <c r="A8" s="93">
        <v>44354</v>
      </c>
      <c r="B8" s="93"/>
      <c r="E8" s="94"/>
      <c r="F8">
        <f t="shared" si="0"/>
        <v>0</v>
      </c>
      <c r="G8">
        <v>33383.9</v>
      </c>
      <c r="J8">
        <f>(Table224[[#This Row],[Available(SOD)]] + Table224[[#This Row],[Add Fund]] - Table224[[#This Row],[Withdraw Fund]]) - Table224[[#This Row],[Total]]</f>
        <v>33383.9</v>
      </c>
      <c r="K8" s="88" t="str">
        <f>IF(AND(Table224[[#This Row],[Total]] = 0,(Table224[[#This Row],[Available(EOD)]] - G9) &lt;= 0),"NA",G9-Table224[[#This Row],[Available(EOD)]])</f>
        <v>NA</v>
      </c>
      <c r="L8" s="99" t="str">
        <f>IF(Table224[[#This Row],[Total]] = 0, "NA",(Table224[[#This Row],[Brokerage]]/Table224[[#This Row],[Total]])*100)</f>
        <v>NA</v>
      </c>
    </row>
    <row r="9" spans="1:14" x14ac:dyDescent="0.35">
      <c r="A9" s="93">
        <v>44355</v>
      </c>
      <c r="B9" s="93" t="s">
        <v>78</v>
      </c>
      <c r="C9" t="s">
        <v>97</v>
      </c>
      <c r="D9">
        <v>10</v>
      </c>
      <c r="E9">
        <v>546</v>
      </c>
      <c r="F9">
        <f t="shared" si="0"/>
        <v>5460</v>
      </c>
      <c r="G9">
        <v>33383.9</v>
      </c>
      <c r="J9">
        <f>(Table224[[#This Row],[Available(SOD)]] + Table224[[#This Row],[Add Fund]] - Table224[[#This Row],[Withdraw Fund]]) - Table224[[#This Row],[Total]]</f>
        <v>27923.9</v>
      </c>
      <c r="K9" s="88">
        <f>IF(AND(Table224[[#This Row],[Total]] = 0,(Table224[[#This Row],[Available(EOD)]] - G10) &lt;= 0),"NA",G10-Table224[[#This Row],[Available(EOD)]])</f>
        <v>-6.2000000000007276</v>
      </c>
      <c r="L9" s="89">
        <f>IF(Table224[[#This Row],[Total]] = 0, "NA",(Table224[[#This Row],[Brokerage]]/Table224[[#This Row],[Total]])*100)</f>
        <v>-0.11355311355312689</v>
      </c>
      <c r="M9" t="s">
        <v>106</v>
      </c>
    </row>
    <row r="10" spans="1:14" x14ac:dyDescent="0.35">
      <c r="A10" s="93">
        <v>44356</v>
      </c>
      <c r="B10" s="93"/>
      <c r="F10">
        <f t="shared" si="0"/>
        <v>0</v>
      </c>
      <c r="G10">
        <v>27917.7</v>
      </c>
      <c r="J10">
        <f>(Table224[[#This Row],[Available(SOD)]] + Table224[[#This Row],[Add Fund]] - Table224[[#This Row],[Withdraw Fund]]) - Table224[[#This Row],[Total]]</f>
        <v>27917.7</v>
      </c>
      <c r="K10" s="88" t="s">
        <v>96</v>
      </c>
      <c r="L10" s="89" t="str">
        <f>IF(Table224[[#This Row],[Total]] = 0, "NA",(Table224[[#This Row],[Brokerage]]/Table224[[#This Row],[Total]])*100)</f>
        <v>NA</v>
      </c>
    </row>
    <row r="11" spans="1:14" x14ac:dyDescent="0.35">
      <c r="A11" s="93">
        <v>44357</v>
      </c>
      <c r="B11"/>
      <c r="F11">
        <f t="shared" si="0"/>
        <v>0</v>
      </c>
      <c r="J11">
        <f>(Table224[[#This Row],[Available(SOD)]] + Table224[[#This Row],[Add Fund]] - Table224[[#This Row],[Withdraw Fund]]) - Table224[[#This Row],[Total]]</f>
        <v>0</v>
      </c>
      <c r="K11" s="88" t="str">
        <f>IF(AND(Table224[[#This Row],[Total]] = 0,(Table224[[#This Row],[Available(EOD)]] - G12) &lt;= 0),"NA",G12-Table224[[#This Row],[Available(EOD)]])</f>
        <v>NA</v>
      </c>
      <c r="L11" s="89" t="str">
        <f>IF(Table224[[#This Row],[Total]] = 0, "NA",(Table224[[#This Row],[Brokerage]]/Table224[[#This Row],[Total]])*100)</f>
        <v>NA</v>
      </c>
    </row>
    <row r="12" spans="1:14" x14ac:dyDescent="0.35">
      <c r="A12" s="93">
        <v>44358</v>
      </c>
      <c r="B12" s="93"/>
      <c r="F12">
        <f t="shared" si="0"/>
        <v>0</v>
      </c>
      <c r="J12">
        <f>(Table224[[#This Row],[Available(SOD)]] + Table224[[#This Row],[Add Fund]] - Table224[[#This Row],[Withdraw Fund]]) - Table224[[#This Row],[Total]]</f>
        <v>0</v>
      </c>
      <c r="K12" s="88" t="str">
        <f>IF(AND(Table224[[#This Row],[Total]] = 0,(Table224[[#This Row],[Available(EOD)]] - G13) &lt;= 0),"NA",G13-Table224[[#This Row],[Available(EOD)]])</f>
        <v>NA</v>
      </c>
      <c r="L12" s="89" t="str">
        <f>IF(Table224[[#This Row],[Total]] = 0, "NA",(Table224[[#This Row],[Brokerage]]/Table224[[#This Row],[Total]])*100)</f>
        <v>NA</v>
      </c>
    </row>
    <row r="13" spans="1:14" x14ac:dyDescent="0.35">
      <c r="A13" s="93">
        <v>44359</v>
      </c>
      <c r="B13" s="93"/>
      <c r="F13">
        <f t="shared" si="0"/>
        <v>0</v>
      </c>
      <c r="J13">
        <f>(Table224[[#This Row],[Available(SOD)]] + Table224[[#This Row],[Add Fund]] - Table224[[#This Row],[Withdraw Fund]]) - Table224[[#This Row],[Total]]</f>
        <v>0</v>
      </c>
      <c r="K13" s="88" t="str">
        <f>IF(AND(Table224[[#This Row],[Total]] = 0,(Table224[[#This Row],[Available(EOD)]] - G14) &lt;= 0),"NA",G14-Table224[[#This Row],[Available(EOD)]])</f>
        <v>NA</v>
      </c>
      <c r="L13" s="89" t="str">
        <f>IF(Table224[[#This Row],[Total]] = 0, "NA",(Table224[[#This Row],[Brokerage]]/Table224[[#This Row],[Total]])*100)</f>
        <v>NA</v>
      </c>
    </row>
    <row r="14" spans="1:14" x14ac:dyDescent="0.35">
      <c r="A14" s="95">
        <v>44360</v>
      </c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</row>
    <row r="15" spans="1:14" x14ac:dyDescent="0.35">
      <c r="A15" s="93">
        <v>44361</v>
      </c>
      <c r="B15" s="93" t="s">
        <v>78</v>
      </c>
      <c r="C15" s="93" t="s">
        <v>95</v>
      </c>
      <c r="D15">
        <v>30</v>
      </c>
      <c r="E15">
        <v>206.08</v>
      </c>
      <c r="F15">
        <f t="shared" si="0"/>
        <v>6182.4000000000005</v>
      </c>
      <c r="G15">
        <v>27917.7</v>
      </c>
      <c r="H15" s="93"/>
      <c r="I15" s="93"/>
      <c r="J15">
        <f>(Table224[[#This Row],[Available(SOD)]] + Table224[[#This Row],[Add Fund]] - Table224[[#This Row],[Withdraw Fund]]) - Table224[[#This Row],[Total]]</f>
        <v>21735.3</v>
      </c>
      <c r="K15" s="88">
        <f>IF(AND(Table224[[#This Row],[Total]] = 0,(Table224[[#This Row],[Available(EOD)]] - G16) &lt;= 0),"NA",G16-Table224[[#This Row],[Available(EOD)]])</f>
        <v>-7.3999999999978172</v>
      </c>
      <c r="L15" s="89">
        <f>IF(Table224[[#This Row],[Total]] = 0, "NA",(Table224[[#This Row],[Brokerage]]/Table224[[#This Row],[Total]])*100)</f>
        <v>-0.11969461697719035</v>
      </c>
      <c r="M15" s="93" t="s">
        <v>109</v>
      </c>
      <c r="N15" s="93"/>
    </row>
    <row r="16" spans="1:14" x14ac:dyDescent="0.35">
      <c r="A16" s="93">
        <v>44362</v>
      </c>
      <c r="B16" s="93"/>
      <c r="F16">
        <f t="shared" si="0"/>
        <v>0</v>
      </c>
      <c r="G16">
        <v>21727.9</v>
      </c>
      <c r="J16">
        <f>(Table224[[#This Row],[Available(SOD)]] + Table224[[#This Row],[Add Fund]] - Table224[[#This Row],[Withdraw Fund]]) - Table224[[#This Row],[Total]]</f>
        <v>21727.9</v>
      </c>
      <c r="K16" s="88">
        <f>IF(AND(Table224[[#This Row],[Total]] = 0,(Table224[[#This Row],[Available(EOD)]] - G17) &lt;= 0),"NA",G17-Table224[[#This Row],[Available(EOD)]])</f>
        <v>-21727.9</v>
      </c>
      <c r="L16" s="89" t="str">
        <f>IF(Table224[[#This Row],[Total]] = 0, "NA",(Table224[[#This Row],[Brokerage]]/Table224[[#This Row],[Total]])*100)</f>
        <v>NA</v>
      </c>
    </row>
    <row r="17" spans="1:14" x14ac:dyDescent="0.35">
      <c r="A17" s="93">
        <v>44363</v>
      </c>
      <c r="B17" s="93"/>
      <c r="F17">
        <f t="shared" si="0"/>
        <v>0</v>
      </c>
      <c r="J17">
        <f>(Table224[[#This Row],[Available(SOD)]] + Table224[[#This Row],[Add Fund]] - Table224[[#This Row],[Withdraw Fund]]) - Table224[[#This Row],[Total]]</f>
        <v>0</v>
      </c>
      <c r="K17" s="88" t="str">
        <f>IF(AND(Table224[[#This Row],[Total]] = 0,(Table224[[#This Row],[Available(EOD)]] - G18) &lt;= 0),"NA",G18-Table224[[#This Row],[Available(EOD)]])</f>
        <v>NA</v>
      </c>
      <c r="L17" s="89" t="str">
        <f>IF(Table224[[#This Row],[Total]] = 0, "NA",(Table224[[#This Row],[Brokerage]]/Table224[[#This Row],[Total]])*100)</f>
        <v>NA</v>
      </c>
    </row>
    <row r="18" spans="1:14" x14ac:dyDescent="0.35">
      <c r="A18" s="93">
        <v>44364</v>
      </c>
      <c r="B18" s="93" t="s">
        <v>78</v>
      </c>
      <c r="C18" t="s">
        <v>110</v>
      </c>
      <c r="D18">
        <v>14</v>
      </c>
      <c r="E18">
        <v>317.07</v>
      </c>
      <c r="F18">
        <f t="shared" si="0"/>
        <v>4438.9799999999996</v>
      </c>
      <c r="G18">
        <v>21727.9</v>
      </c>
      <c r="J18">
        <f>(Table224[[#This Row],[Available(SOD)]] + Table224[[#This Row],[Add Fund]] - Table224[[#This Row],[Withdraw Fund]]) - Table224[[#This Row],[Total]]</f>
        <v>17288.920000000002</v>
      </c>
      <c r="K18" s="88">
        <f>IF(AND(Table224[[#This Row],[Total]] = 0,(Table224[[#This Row],[Available(EOD)]] - G19) &lt;= 0),"NA",G19-Table224[[#This Row],[Available(EOD)]])</f>
        <v>-5.1200000000026193</v>
      </c>
      <c r="L18" s="89">
        <f>IF(Table224[[#This Row],[Total]] = 0, "NA",(Table224[[#This Row],[Brokerage]]/Table224[[#This Row],[Total]])*100)</f>
        <v>-0.11534181275884596</v>
      </c>
      <c r="M18" t="s">
        <v>113</v>
      </c>
    </row>
    <row r="19" spans="1:14" x14ac:dyDescent="0.35">
      <c r="A19" s="93">
        <v>44365</v>
      </c>
      <c r="B19" s="93" t="s">
        <v>78</v>
      </c>
      <c r="C19" t="s">
        <v>95</v>
      </c>
      <c r="D19">
        <v>30</v>
      </c>
      <c r="E19">
        <v>204.26</v>
      </c>
      <c r="F19">
        <f t="shared" si="0"/>
        <v>6127.7999999999993</v>
      </c>
      <c r="G19">
        <v>17283.8</v>
      </c>
      <c r="J19">
        <f>(Table224[[#This Row],[Available(SOD)]] + Table224[[#This Row],[Add Fund]] - Table224[[#This Row],[Withdraw Fund]]) - Table224[[#This Row],[Total]]</f>
        <v>11156</v>
      </c>
      <c r="K19" s="88">
        <f>IF(AND(Table224[[#This Row],[Total]] = 0,(Table224[[#This Row],[Available(EOD)]] - G20) &lt;= 0),"NA",G20-Table224[[#This Row],[Available(EOD)]])</f>
        <v>-7.5</v>
      </c>
      <c r="L19" s="89">
        <f>IF(Table224[[#This Row],[Total]] = 0, "NA",(Table224[[#This Row],[Brokerage]]/Table224[[#This Row],[Total]])*100)</f>
        <v>-0.12239302849309705</v>
      </c>
    </row>
    <row r="20" spans="1:14" x14ac:dyDescent="0.35">
      <c r="A20" s="93">
        <v>44366</v>
      </c>
      <c r="B20" s="93"/>
      <c r="G20">
        <v>11148.5</v>
      </c>
      <c r="K20" s="88"/>
      <c r="L20" s="89"/>
    </row>
    <row r="21" spans="1:14" x14ac:dyDescent="0.35">
      <c r="A21" s="95">
        <v>44367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</row>
    <row r="22" spans="1:14" x14ac:dyDescent="0.35">
      <c r="A22" s="93">
        <v>44368</v>
      </c>
      <c r="B22" s="93" t="s">
        <v>99</v>
      </c>
      <c r="C22" t="s">
        <v>111</v>
      </c>
      <c r="D22">
        <v>241</v>
      </c>
      <c r="E22">
        <v>64.150000000000006</v>
      </c>
      <c r="F22">
        <f t="shared" si="0"/>
        <v>15460.150000000001</v>
      </c>
      <c r="G22">
        <v>11148.5</v>
      </c>
      <c r="J22">
        <f>(Table224[[#This Row],[Available(SOD)]] + Table224[[#This Row],[Add Fund]] - Table224[[#This Row],[Withdraw Fund]]) + Table224[[#This Row],[Total]]</f>
        <v>26608.65</v>
      </c>
      <c r="K22" s="88">
        <f>IF(AND(Table224[[#This Row],[Total]] = 0,(Table224[[#This Row],[Available(EOD)]] - G23) &lt;= 0),"NA",G23-Table224[[#This Row],[Available(EOD)]])</f>
        <v>-31.55000000000291</v>
      </c>
      <c r="L22" s="89">
        <f>IF(Table224[[#This Row],[Total]] = 0, "NA",(Table224[[#This Row],[Brokerage]]/Table224[[#This Row],[Total]])*100)</f>
        <v>-0.2040730523313351</v>
      </c>
      <c r="M22" t="s">
        <v>112</v>
      </c>
    </row>
    <row r="23" spans="1:14" x14ac:dyDescent="0.35">
      <c r="A23" s="93">
        <v>44369</v>
      </c>
      <c r="B23" s="93"/>
      <c r="F23">
        <f t="shared" si="0"/>
        <v>0</v>
      </c>
      <c r="G23">
        <v>26577.1</v>
      </c>
      <c r="J23">
        <f>(Table224[[#This Row],[Available(SOD)]] + Table224[[#This Row],[Add Fund]] - Table224[[#This Row],[Withdraw Fund]]) + Table224[[#This Row],[Total]]</f>
        <v>26577.1</v>
      </c>
      <c r="K23" s="88" t="str">
        <f>IF(AND(Table224[[#This Row],[Total]] = 0,(Table224[[#This Row],[Available(EOD)]] - G24) &lt;= 0),"NA",G24-Table224[[#This Row],[Available(EOD)]])</f>
        <v>NA</v>
      </c>
      <c r="L23" s="89" t="str">
        <f>IF(Table224[[#This Row],[Total]] = 0, "NA",(Table224[[#This Row],[Brokerage]]/Table224[[#This Row],[Total]])*100)</f>
        <v>NA</v>
      </c>
    </row>
    <row r="24" spans="1:14" x14ac:dyDescent="0.35">
      <c r="A24" s="93">
        <v>44370</v>
      </c>
      <c r="B24" s="93"/>
      <c r="F24">
        <f t="shared" si="0"/>
        <v>0</v>
      </c>
      <c r="G24">
        <v>26577.1</v>
      </c>
      <c r="K24" s="88" t="str">
        <f>IF(AND(Table224[[#This Row],[Total]] = 0,(Table224[[#This Row],[Available(EOD)]] - G25) &lt;= 0),"NA",G25-Table224[[#This Row],[Available(EOD)]])</f>
        <v>NA</v>
      </c>
      <c r="L24" s="89" t="str">
        <f>IF(Table224[[#This Row],[Total]] = 0, "NA",(Table224[[#This Row],[Brokerage]]/Table224[[#This Row],[Total]])*100)</f>
        <v>NA</v>
      </c>
    </row>
    <row r="25" spans="1:14" x14ac:dyDescent="0.35">
      <c r="A25" s="93">
        <v>44371</v>
      </c>
      <c r="B25" s="93"/>
      <c r="F25">
        <f t="shared" si="0"/>
        <v>0</v>
      </c>
      <c r="G25">
        <v>26577.1</v>
      </c>
      <c r="J25">
        <f>(Table224[[#This Row],[Available(SOD)]] + Table224[[#This Row],[Add Fund]] - Table224[[#This Row],[Withdraw Fund]]) - Table224[[#This Row],[Total]]</f>
        <v>26577.1</v>
      </c>
      <c r="K25" s="88" t="str">
        <f>IF(AND(Table224[[#This Row],[Total]] = 0,(Table224[[#This Row],[Available(EOD)]] - G26) &lt;= 0),"NA",G26-Table224[[#This Row],[Available(EOD)]])</f>
        <v>NA</v>
      </c>
      <c r="L25" s="89" t="str">
        <f>IF(Table224[[#This Row],[Total]] = 0, "NA",(Table224[[#This Row],[Brokerage]]/Table224[[#This Row],[Total]])*100)</f>
        <v>NA</v>
      </c>
    </row>
    <row r="26" spans="1:14" x14ac:dyDescent="0.35">
      <c r="A26" s="93">
        <v>44372</v>
      </c>
      <c r="B26" s="93" t="s">
        <v>99</v>
      </c>
      <c r="C26" t="s">
        <v>104</v>
      </c>
      <c r="D26">
        <v>351</v>
      </c>
      <c r="E26">
        <v>55.3</v>
      </c>
      <c r="F26">
        <f t="shared" si="0"/>
        <v>19410.3</v>
      </c>
      <c r="G26">
        <v>26577.1</v>
      </c>
      <c r="J26">
        <f>(Table224[[#This Row],[Available(SOD)]] + Table224[[#This Row],[Add Fund]] - Table224[[#This Row],[Withdraw Fund]]) + Table224[[#This Row],[Total]]</f>
        <v>45987.399999999994</v>
      </c>
      <c r="K26" s="88">
        <f>IF(AND(Table224[[#This Row],[Total]] = 0,(Table224[[#This Row],[Available(EOD)]] - G27) &lt;= 0),"NA",G27-Table224[[#This Row],[Available(EOD)]])</f>
        <v>-35.599999999991269</v>
      </c>
      <c r="L26" s="89">
        <f>IF(Table224[[#This Row],[Total]] = 0, "NA",(Table224[[#This Row],[Brokerage]]/Table224[[#This Row],[Total]])*100)</f>
        <v>-0.18340777834444225</v>
      </c>
    </row>
    <row r="27" spans="1:14" x14ac:dyDescent="0.35">
      <c r="A27" s="93">
        <v>44373</v>
      </c>
      <c r="B27" s="93"/>
      <c r="F27">
        <f t="shared" si="0"/>
        <v>0</v>
      </c>
      <c r="G27">
        <v>45951.8</v>
      </c>
      <c r="K27" s="88" t="str">
        <f>IF(AND(Table224[[#This Row],[Total]] = 0,(Table224[[#This Row],[Available(EOD)]] - G28) &lt;= 0),"NA",G28-Table224[[#This Row],[Available(EOD)]])</f>
        <v>NA</v>
      </c>
      <c r="L27" s="89" t="str">
        <f>IF(Table224[[#This Row],[Total]] = 0, "NA",(Table224[[#This Row],[Brokerage]]/Table224[[#This Row],[Total]])*100)</f>
        <v>NA</v>
      </c>
    </row>
    <row r="28" spans="1:14" x14ac:dyDescent="0.35">
      <c r="A28" s="95">
        <v>44374</v>
      </c>
      <c r="B28" s="95"/>
      <c r="C28" s="95"/>
      <c r="D28" s="95"/>
      <c r="E28" s="95"/>
      <c r="F28" s="95"/>
      <c r="G28" s="95"/>
      <c r="H28" s="95"/>
      <c r="I28" s="95"/>
      <c r="J28" s="95"/>
      <c r="K28" s="95" t="str">
        <f>IF(AND(Table224[[#This Row],[Total]] = 0,(Table224[[#This Row],[Available(EOD)]] - G29) &lt;= 0),"NA",G29-Table224[[#This Row],[Available(EOD)]])</f>
        <v>NA</v>
      </c>
      <c r="L28" s="95" t="str">
        <f>IF(Table224[[#This Row],[Total]] = 0, "NA",(Table224[[#This Row],[Brokerage]]/Table224[[#This Row],[Total]])*100)</f>
        <v>NA</v>
      </c>
      <c r="M28" s="95"/>
      <c r="N28" s="95"/>
    </row>
    <row r="29" spans="1:14" x14ac:dyDescent="0.35">
      <c r="A29" s="93">
        <v>44375</v>
      </c>
      <c r="B29" s="93"/>
      <c r="G29">
        <v>45951.8</v>
      </c>
      <c r="J29">
        <v>45951.8</v>
      </c>
      <c r="K29" s="88"/>
      <c r="L29" s="89"/>
    </row>
    <row r="30" spans="1:14" x14ac:dyDescent="0.35">
      <c r="A30" s="93">
        <v>44376</v>
      </c>
      <c r="B30" s="93" t="s">
        <v>99</v>
      </c>
      <c r="C30" t="s">
        <v>114</v>
      </c>
      <c r="D30">
        <v>100</v>
      </c>
      <c r="E30">
        <v>81.8</v>
      </c>
      <c r="F30">
        <f t="shared" si="0"/>
        <v>8180</v>
      </c>
      <c r="G30">
        <v>45951.8</v>
      </c>
      <c r="J30">
        <f>(Table224[[#This Row],[Available(SOD)]] + Table224[[#This Row],[Add Fund]] - Table224[[#This Row],[Withdraw Fund]]) + Table224[[#This Row],[Total]]</f>
        <v>54131.8</v>
      </c>
      <c r="K30" s="88">
        <f>IF(AND(Table224[[#This Row],[Total]] = 0,(Table224[[#This Row],[Available(EOD)]] - G31) &lt;= 0),"NA",G31-Table224[[#This Row],[Available(EOD)]])</f>
        <v>-24.200000000004366</v>
      </c>
      <c r="L30" s="89">
        <f>IF(Table224[[#This Row],[Total]] = 0, "NA",(Table224[[#This Row],[Brokerage]]/Table224[[#This Row],[Total]])*100)</f>
        <v>-0.29584352078244947</v>
      </c>
      <c r="M30" t="s">
        <v>115</v>
      </c>
    </row>
    <row r="31" spans="1:14" x14ac:dyDescent="0.35">
      <c r="A31" s="93">
        <v>44377</v>
      </c>
      <c r="B31" s="93"/>
      <c r="G31">
        <v>54107.6</v>
      </c>
      <c r="K31" s="90"/>
      <c r="L31" s="89"/>
    </row>
    <row r="32" spans="1:14" x14ac:dyDescent="0.35">
      <c r="A32" s="93"/>
      <c r="B32" s="93"/>
      <c r="K32" s="90"/>
      <c r="L32" s="89"/>
    </row>
  </sheetData>
  <conditionalFormatting sqref="B12:B13 B16:B20 A2:B6 A9:A13 B9:B10 A15:A20 A23:B27 A30:A32">
    <cfRule type="beginsWith" dxfId="64" priority="13" operator="beginsWith" text="Sunday">
      <formula>LEFT(A2,LEN("Sunday"))="Sunday"</formula>
    </cfRule>
  </conditionalFormatting>
  <conditionalFormatting sqref="A7">
    <cfRule type="beginsWith" dxfId="63" priority="8" operator="beginsWith" text="Sunday">
      <formula>LEFT(A7,LEN("Sunday"))="Sunday"</formula>
    </cfRule>
  </conditionalFormatting>
  <conditionalFormatting sqref="A8:B8">
    <cfRule type="beginsWith" dxfId="62" priority="7" operator="beginsWith" text="Sunday">
      <formula>LEFT(A8,LEN("Sunday"))="Sunday"</formula>
    </cfRule>
  </conditionalFormatting>
  <conditionalFormatting sqref="B15:C15 H15:I15 M15:N15">
    <cfRule type="beginsWith" dxfId="61" priority="6" operator="beginsWith" text="Sunday">
      <formula>LEFT(B15,LEN("Sunday"))="Sunday"</formula>
    </cfRule>
  </conditionalFormatting>
  <conditionalFormatting sqref="A14:N14">
    <cfRule type="beginsWith" dxfId="60" priority="5" operator="beginsWith" text="Sunday">
      <formula>LEFT(A14,LEN("Sunday"))="Sunday"</formula>
    </cfRule>
  </conditionalFormatting>
  <conditionalFormatting sqref="A21:N21">
    <cfRule type="beginsWith" dxfId="59" priority="4" operator="beginsWith" text="Sunday">
      <formula>LEFT(A21,LEN("Sunday"))="Sunday"</formula>
    </cfRule>
  </conditionalFormatting>
  <conditionalFormatting sqref="A22:B22">
    <cfRule type="beginsWith" dxfId="58" priority="3" operator="beginsWith" text="Sunday">
      <formula>LEFT(A22,LEN("Sunday"))="Sunday"</formula>
    </cfRule>
  </conditionalFormatting>
  <conditionalFormatting sqref="A28:N28">
    <cfRule type="beginsWith" dxfId="57" priority="2" operator="beginsWith" text="Sunday">
      <formula>LEFT(A28,LEN("Sunday"))="Sunday"</formula>
    </cfRule>
  </conditionalFormatting>
  <conditionalFormatting sqref="A29:B29">
    <cfRule type="beginsWith" dxfId="56" priority="1" operator="beginsWith" text="Sunday">
      <formula>LEFT(A29,LEN("Sunday"))="Sunday"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4"/>
  <sheetViews>
    <sheetView topLeftCell="A7" zoomScale="90" zoomScaleNormal="90" workbookViewId="0">
      <selection activeCell="B10" sqref="B10"/>
    </sheetView>
  </sheetViews>
  <sheetFormatPr defaultRowHeight="14.5" x14ac:dyDescent="0.35"/>
  <cols>
    <col min="1" max="1" width="23.54296875" style="92" customWidth="1"/>
    <col min="2" max="2" width="10.54296875" style="92" customWidth="1"/>
    <col min="3" max="3" width="15.26953125" bestFit="1" customWidth="1"/>
    <col min="4" max="4" width="6.7265625" customWidth="1"/>
    <col min="5" max="5" width="15.54296875" customWidth="1"/>
    <col min="6" max="6" width="9.453125" bestFit="1" customWidth="1"/>
    <col min="7" max="7" width="15.1796875" customWidth="1"/>
    <col min="8" max="8" width="8.7265625" customWidth="1"/>
    <col min="9" max="9" width="9" customWidth="1"/>
    <col min="10" max="10" width="12" customWidth="1"/>
    <col min="11" max="11" width="13.08984375" customWidth="1"/>
    <col min="12" max="12" width="11.54296875" customWidth="1"/>
    <col min="13" max="13" width="50.1796875" bestFit="1" customWidth="1"/>
    <col min="14" max="14" width="18.08984375" customWidth="1"/>
  </cols>
  <sheetData>
    <row r="1" spans="1:14" x14ac:dyDescent="0.35">
      <c r="A1" s="92" t="s">
        <v>0</v>
      </c>
      <c r="B1" s="92" t="s">
        <v>77</v>
      </c>
      <c r="C1" t="s">
        <v>66</v>
      </c>
      <c r="D1" t="s">
        <v>67</v>
      </c>
      <c r="E1" t="s">
        <v>68</v>
      </c>
      <c r="F1" t="s">
        <v>72</v>
      </c>
      <c r="G1" t="s">
        <v>69</v>
      </c>
      <c r="H1" t="s">
        <v>80</v>
      </c>
      <c r="I1" t="s">
        <v>81</v>
      </c>
      <c r="J1" t="s">
        <v>70</v>
      </c>
      <c r="K1" t="s">
        <v>73</v>
      </c>
      <c r="L1" t="s">
        <v>74</v>
      </c>
      <c r="M1" t="s">
        <v>75</v>
      </c>
      <c r="N1" t="s">
        <v>76</v>
      </c>
    </row>
    <row r="2" spans="1:14" x14ac:dyDescent="0.35">
      <c r="A2" s="93">
        <v>44378</v>
      </c>
      <c r="B2" s="93"/>
      <c r="D2" s="91"/>
      <c r="F2">
        <f>D2*E2</f>
        <v>0</v>
      </c>
      <c r="G2">
        <v>54107.6</v>
      </c>
      <c r="J2">
        <f>(Table2245[[#This Row],[Available(SOD)]] + Table2245[[#This Row],[Add Fund]] - Table2245[[#This Row],[Withdraw Fund]]) - Table2245[[#This Row],[Total]]</f>
        <v>54107.6</v>
      </c>
      <c r="K2" s="88" t="str">
        <f>IF(AND(Table2245[[#This Row],[Total]] = 0,(Table2245[[#This Row],[Available(EOD)]] - G3) &lt;= 0),"NA",G3-Table2245[[#This Row],[Available(EOD)]])</f>
        <v>NA</v>
      </c>
      <c r="L2" s="89" t="str">
        <f>IF(Table2245[[#This Row],[Total]] = 0, "NA",(Table2245[[#This Row],[Brokerage]]/Table2245[[#This Row],[Total]])*100)</f>
        <v>NA</v>
      </c>
    </row>
    <row r="3" spans="1:14" x14ac:dyDescent="0.35">
      <c r="A3" s="93">
        <v>44379</v>
      </c>
      <c r="B3" s="93" t="s">
        <v>99</v>
      </c>
      <c r="C3" t="s">
        <v>97</v>
      </c>
      <c r="D3">
        <v>221</v>
      </c>
      <c r="E3">
        <v>606.25</v>
      </c>
      <c r="F3" s="103">
        <f>Table2245[[#This Row],[QTY]]*Table2245[[#This Row],[Price]]</f>
        <v>133981.25</v>
      </c>
      <c r="G3">
        <v>54107.6</v>
      </c>
      <c r="J3">
        <f>(Table2245[[#This Row],[Available(SOD)]] + Table2245[[#This Row],[Add Fund]] - Table2245[[#This Row],[Withdraw Fund]]) + Table2245[[#This Row],[Total]]</f>
        <v>188088.85</v>
      </c>
      <c r="K3" s="88">
        <f>IF(AND(Table2245[[#This Row],[Total]] = 0,(Table2245[[#This Row],[Available(EOD)]] - G4) &lt;= 0),"NA",G4-Table2245[[#This Row],[Available(EOD)]])</f>
        <v>-155.55000000001746</v>
      </c>
      <c r="L3" s="89">
        <f>IF(Table2245[[#This Row],[Total]] = 0, "NA",(Table2245[[#This Row],[Brokerage]]/Table2245[[#This Row],[Total]])*100)</f>
        <v>-0.11609833465504873</v>
      </c>
    </row>
    <row r="4" spans="1:14" x14ac:dyDescent="0.35">
      <c r="A4" s="93">
        <v>44380</v>
      </c>
      <c r="B4" s="93"/>
      <c r="F4">
        <f t="shared" ref="F4:F31" si="0">D4*E4</f>
        <v>0</v>
      </c>
      <c r="G4">
        <v>187933.3</v>
      </c>
      <c r="J4">
        <f>(Table2245[[#This Row],[Available(SOD)]] + Table2245[[#This Row],[Add Fund]] - Table2245[[#This Row],[Withdraw Fund]]) - Table2245[[#This Row],[Total]]</f>
        <v>187933.3</v>
      </c>
      <c r="K4" s="88" t="str">
        <f>IF(AND(Table2245[[#This Row],[Total]] = 0,(Table2245[[#This Row],[Available(EOD)]] - G5) &lt;= 0),"NA",G5-Table2245[[#This Row],[Available(EOD)]])</f>
        <v>NA</v>
      </c>
      <c r="L4" s="89" t="str">
        <f>IF(Table2245[[#This Row],[Total]] = 0, "NA",(Table2245[[#This Row],[Brokerage]]/Table2245[[#This Row],[Total]])*100)</f>
        <v>NA</v>
      </c>
    </row>
    <row r="5" spans="1:14" x14ac:dyDescent="0.35">
      <c r="A5" s="93">
        <v>44381</v>
      </c>
      <c r="B5" s="93"/>
      <c r="F5">
        <f t="shared" si="0"/>
        <v>0</v>
      </c>
      <c r="G5">
        <v>187933.3</v>
      </c>
      <c r="J5">
        <f>(Table2245[[#This Row],[Available(SOD)]] + Table2245[[#This Row],[Add Fund]] - Table2245[[#This Row],[Withdraw Fund]]) - Table2245[[#This Row],[Total]]</f>
        <v>187933.3</v>
      </c>
      <c r="K5" s="88" t="str">
        <f>IF(AND(Table2245[[#This Row],[Total]] = 0,(Table2245[[#This Row],[Available(EOD)]] - G6) &lt;= 0),"NA",G6-Table2245[[#This Row],[Available(EOD)]])</f>
        <v>NA</v>
      </c>
      <c r="L5" s="89" t="str">
        <f>IF(Table2245[[#This Row],[Total]] = 0, "NA",(Table2245[[#This Row],[Brokerage]]/Table2245[[#This Row],[Total]])*100)</f>
        <v>NA</v>
      </c>
    </row>
    <row r="6" spans="1:14" x14ac:dyDescent="0.35">
      <c r="A6" s="93">
        <v>44382</v>
      </c>
      <c r="B6" s="93"/>
      <c r="E6" s="94"/>
      <c r="F6">
        <f t="shared" si="0"/>
        <v>0</v>
      </c>
      <c r="G6">
        <v>187933.3</v>
      </c>
      <c r="J6">
        <f>(Table2245[[#This Row],[Available(SOD)]] + Table2245[[#This Row],[Add Fund]] - Table2245[[#This Row],[Withdraw Fund]]) - Table2245[[#This Row],[Total]]</f>
        <v>187933.3</v>
      </c>
      <c r="K6" s="88" t="s">
        <v>96</v>
      </c>
      <c r="L6" s="99" t="str">
        <f>IF(Table2245[[#This Row],[Total]] = 0, "NA",(Table2245[[#This Row],[Brokerage]]/Table2245[[#This Row],[Total]])*100)</f>
        <v>NA</v>
      </c>
    </row>
    <row r="7" spans="1:14" x14ac:dyDescent="0.35">
      <c r="A7" s="93">
        <v>44383</v>
      </c>
      <c r="B7" t="s">
        <v>99</v>
      </c>
      <c r="C7" t="s">
        <v>105</v>
      </c>
      <c r="D7">
        <v>101</v>
      </c>
      <c r="E7">
        <v>42.4</v>
      </c>
      <c r="F7">
        <f t="shared" si="0"/>
        <v>4282.3999999999996</v>
      </c>
      <c r="G7">
        <v>187933.3</v>
      </c>
      <c r="J7">
        <f>(Table2245[[#This Row],[Available(SOD)]] + Table2245[[#This Row],[Add Fund]] - Table2245[[#This Row],[Withdraw Fund]]) + Table2245[[#This Row],[Total]]</f>
        <v>192215.69999999998</v>
      </c>
      <c r="K7">
        <f>IF(AND(Table2245[[#This Row],[Total]] = 0,(Table2245[[#This Row],[Available(EOD)]] - G8) &lt;= 0),"NA",G8-Table2245[[#This Row],[Available(EOD)]])</f>
        <v>-20.099999999976717</v>
      </c>
      <c r="L7" s="103">
        <f>IF(Table2245[[#This Row],[Total]] = 0, "NA",(Table2245[[#This Row],[Brokerage]]/Table2245[[#This Row],[Total]])*100)</f>
        <v>-0.46936297403270871</v>
      </c>
      <c r="M7" t="s">
        <v>116</v>
      </c>
    </row>
    <row r="8" spans="1:14" x14ac:dyDescent="0.35">
      <c r="A8" s="93">
        <v>44384</v>
      </c>
      <c r="B8" s="93"/>
      <c r="E8" s="94"/>
      <c r="F8">
        <f t="shared" si="0"/>
        <v>0</v>
      </c>
      <c r="G8">
        <v>192195.6</v>
      </c>
      <c r="J8">
        <f>(Table2245[[#This Row],[Available(SOD)]] + Table2245[[#This Row],[Add Fund]] - Table2245[[#This Row],[Withdraw Fund]]) - Table2245[[#This Row],[Total]]</f>
        <v>192195.6</v>
      </c>
      <c r="K8" s="88" t="str">
        <f>IF(AND(Table2245[[#This Row],[Total]] = 0,(Table2245[[#This Row],[Available(EOD)]] - G9) &lt;= 0),"NA",G9-Table2245[[#This Row],[Available(EOD)]])</f>
        <v>NA</v>
      </c>
      <c r="L8" s="99" t="str">
        <f>IF(Table2245[[#This Row],[Total]] = 0, "NA",(Table2245[[#This Row],[Brokerage]]/Table2245[[#This Row],[Total]])*100)</f>
        <v>NA</v>
      </c>
    </row>
    <row r="9" spans="1:14" x14ac:dyDescent="0.35">
      <c r="A9" s="93">
        <v>44385</v>
      </c>
      <c r="B9" s="93" t="s">
        <v>78</v>
      </c>
      <c r="C9" t="s">
        <v>111</v>
      </c>
      <c r="D9">
        <v>1000</v>
      </c>
      <c r="E9">
        <v>67.900000000000006</v>
      </c>
      <c r="F9">
        <f t="shared" si="0"/>
        <v>67900</v>
      </c>
      <c r="G9">
        <v>192195.6</v>
      </c>
      <c r="J9">
        <f>(Table2245[[#This Row],[Available(SOD)]] + Table2245[[#This Row],[Add Fund]] - Table2245[[#This Row],[Withdraw Fund]]) - Table2245[[#This Row],[Total]]</f>
        <v>124295.6</v>
      </c>
      <c r="K9" s="88">
        <f>IF(AND(Table2245[[#This Row],[Total]] = 0,(Table2245[[#This Row],[Available(EOD)]] - G10) &lt;= 0),"NA",G10-Table2245[[#This Row],[Available(EOD)]])</f>
        <v>-80.30000000000291</v>
      </c>
      <c r="L9" s="89">
        <f>IF(Table2245[[#This Row],[Total]] = 0, "NA",(Table2245[[#This Row],[Brokerage]]/Table2245[[#This Row],[Total]])*100)</f>
        <v>-0.11826215022091741</v>
      </c>
      <c r="M9" t="s">
        <v>117</v>
      </c>
    </row>
    <row r="10" spans="1:14" x14ac:dyDescent="0.35">
      <c r="A10" s="93">
        <v>44386</v>
      </c>
      <c r="B10" s="93" t="s">
        <v>78</v>
      </c>
      <c r="C10" t="s">
        <v>118</v>
      </c>
      <c r="D10">
        <v>31</v>
      </c>
      <c r="E10">
        <v>454.52</v>
      </c>
      <c r="F10">
        <f t="shared" si="0"/>
        <v>14090.119999999999</v>
      </c>
      <c r="G10">
        <v>124215.3</v>
      </c>
      <c r="J10">
        <f>(Table2245[[#This Row],[Available(SOD)]] + Table2245[[#This Row],[Add Fund]] - Table2245[[#This Row],[Withdraw Fund]]) - Table2245[[#This Row],[Total]]</f>
        <v>110125.18000000001</v>
      </c>
      <c r="K10" s="88" t="s">
        <v>96</v>
      </c>
      <c r="L10" s="89" t="e">
        <f>IF(Table2245[[#This Row],[Total]] = 0, "NA",(Table2245[[#This Row],[Brokerage]]/Table2245[[#This Row],[Total]])*100)</f>
        <v>#VALUE!</v>
      </c>
      <c r="M10" t="s">
        <v>122</v>
      </c>
    </row>
    <row r="11" spans="1:14" x14ac:dyDescent="0.35">
      <c r="A11" s="93">
        <v>44386</v>
      </c>
      <c r="B11" s="93" t="s">
        <v>78</v>
      </c>
      <c r="C11" t="s">
        <v>111</v>
      </c>
      <c r="D11">
        <v>1000</v>
      </c>
      <c r="E11">
        <v>66.5</v>
      </c>
      <c r="F11">
        <f t="shared" ref="F11" si="1">D11*E11</f>
        <v>66500</v>
      </c>
      <c r="G11">
        <v>110125.18</v>
      </c>
      <c r="J11">
        <f>(Table2245[[#This Row],[Available(SOD)]] + Table2245[[#This Row],[Add Fund]] - Table2245[[#This Row],[Withdraw Fund]]) - Table2245[[#This Row],[Total]]</f>
        <v>43625.179999999993</v>
      </c>
      <c r="K11" s="88" t="s">
        <v>96</v>
      </c>
      <c r="L11" s="89" t="e">
        <f>IF(Table2245[[#This Row],[Total]] = 0, "NA",(Table2245[[#This Row],[Brokerage]]/Table2245[[#This Row],[Total]])*100)</f>
        <v>#VALUE!</v>
      </c>
      <c r="M11" t="s">
        <v>119</v>
      </c>
    </row>
    <row r="12" spans="1:14" x14ac:dyDescent="0.35">
      <c r="A12" s="93">
        <v>44387</v>
      </c>
      <c r="B12"/>
      <c r="F12">
        <f t="shared" si="0"/>
        <v>0</v>
      </c>
      <c r="G12" s="38">
        <v>43529.4</v>
      </c>
      <c r="J12">
        <f>(Table2245[[#This Row],[Available(SOD)]] + Table2245[[#This Row],[Add Fund]] - Table2245[[#This Row],[Withdraw Fund]]) - Table2245[[#This Row],[Total]]</f>
        <v>43529.4</v>
      </c>
      <c r="K12" s="88">
        <f>IF(AND(Table2245[[#This Row],[Total]] = 0,(Table2245[[#This Row],[Available(EOD)]] - G13) &lt;= 0),"NA",G13-Table2245[[#This Row],[Available(EOD)]])</f>
        <v>-43529.4</v>
      </c>
      <c r="L12" s="89" t="str">
        <f>IF(Table2245[[#This Row],[Total]] = 0, "NA",(Table2245[[#This Row],[Brokerage]]/Table2245[[#This Row],[Total]])*100)</f>
        <v>NA</v>
      </c>
    </row>
    <row r="13" spans="1:14" x14ac:dyDescent="0.35">
      <c r="A13" s="93">
        <v>44388</v>
      </c>
      <c r="B13" s="93"/>
      <c r="F13">
        <f t="shared" si="0"/>
        <v>0</v>
      </c>
      <c r="J13">
        <f>(Table2245[[#This Row],[Available(SOD)]] + Table2245[[#This Row],[Add Fund]] - Table2245[[#This Row],[Withdraw Fund]]) - Table2245[[#This Row],[Total]]</f>
        <v>0</v>
      </c>
      <c r="K13" s="88" t="str">
        <f>IF(AND(Table2245[[#This Row],[Total]] = 0,(Table2245[[#This Row],[Available(EOD)]] - G14) &lt;= 0),"NA",G14-Table2245[[#This Row],[Available(EOD)]])</f>
        <v>NA</v>
      </c>
      <c r="L13" s="89" t="str">
        <f>IF(Table2245[[#This Row],[Total]] = 0, "NA",(Table2245[[#This Row],[Brokerage]]/Table2245[[#This Row],[Total]])*100)</f>
        <v>NA</v>
      </c>
    </row>
    <row r="14" spans="1:14" x14ac:dyDescent="0.35">
      <c r="A14" s="93">
        <v>44389</v>
      </c>
      <c r="B14" s="93" t="s">
        <v>78</v>
      </c>
      <c r="C14" t="s">
        <v>118</v>
      </c>
      <c r="D14">
        <v>20</v>
      </c>
      <c r="E14">
        <v>450.8</v>
      </c>
      <c r="F14">
        <f t="shared" si="0"/>
        <v>9016</v>
      </c>
      <c r="G14" s="38">
        <v>43529.4</v>
      </c>
      <c r="J14">
        <f>(Table2245[[#This Row],[Available(SOD)]] + Table2245[[#This Row],[Add Fund]] - Table2245[[#This Row],[Withdraw Fund]]) - Table2245[[#This Row],[Total]]</f>
        <v>34513.4</v>
      </c>
      <c r="K14" s="88">
        <f>IF(AND(Table2245[[#This Row],[Total]] = 0,(Table2245[[#This Row],[Available(EOD)]] - G15) &lt;= 0),"NA",G15-Table2245[[#This Row],[Available(EOD)]])</f>
        <v>-10.30000000000291</v>
      </c>
      <c r="L14" s="89">
        <f>IF(Table2245[[#This Row],[Total]] = 0, "NA",(Table2245[[#This Row],[Brokerage]]/Table2245[[#This Row],[Total]])*100)</f>
        <v>-0.11424134871343067</v>
      </c>
    </row>
    <row r="15" spans="1:14" x14ac:dyDescent="0.35">
      <c r="A15" s="93">
        <v>44390</v>
      </c>
      <c r="B15" s="93"/>
      <c r="F15">
        <f t="shared" si="0"/>
        <v>0</v>
      </c>
      <c r="G15">
        <v>34503.1</v>
      </c>
      <c r="J15">
        <f>(Table2245[[#This Row],[Available(SOD)]] + Table2245[[#This Row],[Add Fund]] - Table2245[[#This Row],[Withdraw Fund]]) - Table2245[[#This Row],[Total]]</f>
        <v>34503.1</v>
      </c>
      <c r="K15" s="88" t="str">
        <f>IF(AND(Table2245[[#This Row],[Total]] = 0,(Table2245[[#This Row],[Available(EOD)]] - G16) &lt;= 0),"NA",G16-Table2245[[#This Row],[Available(EOD)]])</f>
        <v>NA</v>
      </c>
      <c r="L15" s="89" t="str">
        <f>IF(Table2245[[#This Row],[Total]] = 0, "NA",(Table2245[[#This Row],[Brokerage]]/Table2245[[#This Row],[Total]])*100)</f>
        <v>NA</v>
      </c>
    </row>
    <row r="16" spans="1:14" x14ac:dyDescent="0.35">
      <c r="A16" s="93">
        <v>44391</v>
      </c>
      <c r="B16" s="93" t="s">
        <v>78</v>
      </c>
      <c r="C16" s="93" t="s">
        <v>118</v>
      </c>
      <c r="D16">
        <v>20</v>
      </c>
      <c r="E16">
        <v>449.7</v>
      </c>
      <c r="F16">
        <f t="shared" si="0"/>
        <v>8994</v>
      </c>
      <c r="G16">
        <v>34503.1</v>
      </c>
      <c r="H16" s="93"/>
      <c r="I16" s="93"/>
      <c r="J16">
        <f>(Table2245[[#This Row],[Available(SOD)]] + Table2245[[#This Row],[Add Fund]] - Table2245[[#This Row],[Withdraw Fund]]) - Table2245[[#This Row],[Total]]</f>
        <v>25509.1</v>
      </c>
      <c r="K16" s="88">
        <f>IF(AND(Table2245[[#This Row],[Total]] = 0,(Table2245[[#This Row],[Available(EOD)]] - G17) &lt;= 0),"NA",G17-Table2245[[#This Row],[Available(EOD)]])</f>
        <v>-12.69999999999709</v>
      </c>
      <c r="L16" s="89">
        <f>IF(Table2245[[#This Row],[Total]] = 0, "NA",(Table2245[[#This Row],[Brokerage]]/Table2245[[#This Row],[Total]])*100)</f>
        <v>-0.14120524794304079</v>
      </c>
      <c r="M16" s="93"/>
      <c r="N16" s="93"/>
    </row>
    <row r="17" spans="1:12" x14ac:dyDescent="0.35">
      <c r="A17" s="93">
        <v>44392</v>
      </c>
      <c r="B17" s="93" t="s">
        <v>78</v>
      </c>
      <c r="C17" t="s">
        <v>118</v>
      </c>
      <c r="D17">
        <v>20</v>
      </c>
      <c r="E17">
        <v>446.63</v>
      </c>
      <c r="F17">
        <f t="shared" si="0"/>
        <v>8932.6</v>
      </c>
      <c r="G17">
        <v>25496.400000000001</v>
      </c>
      <c r="J17">
        <f>(Table2245[[#This Row],[Available(SOD)]] + Table2245[[#This Row],[Add Fund]] - Table2245[[#This Row],[Withdraw Fund]]) - Table2245[[#This Row],[Total]]</f>
        <v>16563.800000000003</v>
      </c>
      <c r="K17" s="88">
        <f>IF(AND(Table2245[[#This Row],[Total]] = 0,(Table2245[[#This Row],[Available(EOD)]] - G18) &lt;= 0),"NA",G18-Table2245[[#This Row],[Available(EOD)]])</f>
        <v>-14.000000000003638</v>
      </c>
      <c r="L17" s="89">
        <f>IF(Table2245[[#This Row],[Total]] = 0, "NA",(Table2245[[#This Row],[Brokerage]]/Table2245[[#This Row],[Total]])*100)</f>
        <v>-0.15672928374721398</v>
      </c>
    </row>
    <row r="18" spans="1:12" x14ac:dyDescent="0.35">
      <c r="A18" s="93">
        <v>44393</v>
      </c>
      <c r="B18" s="93" t="s">
        <v>78</v>
      </c>
      <c r="C18" t="s">
        <v>118</v>
      </c>
      <c r="D18">
        <v>10</v>
      </c>
      <c r="E18">
        <v>446.25</v>
      </c>
      <c r="F18">
        <f t="shared" si="0"/>
        <v>4462.5</v>
      </c>
      <c r="G18">
        <v>16549.8</v>
      </c>
      <c r="J18">
        <f>(Table2245[[#This Row],[Available(SOD)]] + Table2245[[#This Row],[Add Fund]] - Table2245[[#This Row],[Withdraw Fund]]) - Table2245[[#This Row],[Total]]</f>
        <v>12087.3</v>
      </c>
      <c r="K18" s="88">
        <f>IF(AND(Table2245[[#This Row],[Total]] = 0,(Table2245[[#This Row],[Available(EOD)]] - G19) &lt;= 0),"NA",G19-Table2245[[#This Row],[Available(EOD)]])</f>
        <v>-5.1999999999989086</v>
      </c>
      <c r="L18" s="89">
        <f>IF(Table2245[[#This Row],[Total]] = 0, "NA",(Table2245[[#This Row],[Brokerage]]/Table2245[[#This Row],[Total]])*100)</f>
        <v>-0.11652661064423325</v>
      </c>
    </row>
    <row r="19" spans="1:12" x14ac:dyDescent="0.35">
      <c r="A19" s="93">
        <v>44394</v>
      </c>
      <c r="B19" s="93"/>
      <c r="G19">
        <v>12082.1</v>
      </c>
      <c r="J19">
        <f>(Table2245[[#This Row],[Available(SOD)]] + Table2245[[#This Row],[Add Fund]] - Table2245[[#This Row],[Withdraw Fund]]) - Table2245[[#This Row],[Total]]</f>
        <v>12082.1</v>
      </c>
      <c r="K19" s="88" t="str">
        <f>IF(AND(Table2245[[#This Row],[Total]] = 0,(Table2245[[#This Row],[Available(EOD)]] - G20) &lt;= 0),"NA",G20-Table2245[[#This Row],[Available(EOD)]])</f>
        <v>NA</v>
      </c>
      <c r="L19" s="89" t="str">
        <f>IF(Table2245[[#This Row],[Total]] = 0, "NA",(Table2245[[#This Row],[Brokerage]]/Table2245[[#This Row],[Total]])*100)</f>
        <v>NA</v>
      </c>
    </row>
    <row r="20" spans="1:12" x14ac:dyDescent="0.35">
      <c r="A20" s="93">
        <v>44395</v>
      </c>
      <c r="B20" s="93"/>
      <c r="G20">
        <v>12082.1</v>
      </c>
      <c r="J20">
        <f>(Table2245[[#This Row],[Available(SOD)]] + Table2245[[#This Row],[Add Fund]] - Table2245[[#This Row],[Withdraw Fund]]) - Table2245[[#This Row],[Total]]</f>
        <v>12082.1</v>
      </c>
      <c r="K20" s="88" t="str">
        <f>IF(AND(Table2245[[#This Row],[Total]] = 0,(Table2245[[#This Row],[Available(EOD)]] - G21) &lt;= 0),"NA",G21-Table2245[[#This Row],[Available(EOD)]])</f>
        <v>NA</v>
      </c>
      <c r="L20" s="89" t="str">
        <f>IF(Table2245[[#This Row],[Total]] = 0, "NA",(Table2245[[#This Row],[Brokerage]]/Table2245[[#This Row],[Total]])*100)</f>
        <v>NA</v>
      </c>
    </row>
    <row r="21" spans="1:12" x14ac:dyDescent="0.35">
      <c r="A21" s="93">
        <v>44396</v>
      </c>
      <c r="B21" s="93"/>
      <c r="G21">
        <v>12082.1</v>
      </c>
      <c r="J21">
        <f>(Table2245[[#This Row],[Available(SOD)]] + Table2245[[#This Row],[Add Fund]] - Table2245[[#This Row],[Withdraw Fund]]) - Table2245[[#This Row],[Total]]</f>
        <v>12082.1</v>
      </c>
      <c r="K21" s="88" t="str">
        <f>IF(AND(Table2245[[#This Row],[Total]] = 0,(Table2245[[#This Row],[Available(EOD)]] - G22) &lt;= 0),"NA",G22-Table2245[[#This Row],[Available(EOD)]])</f>
        <v>NA</v>
      </c>
      <c r="L21" s="89" t="str">
        <f>IF(Table2245[[#This Row],[Total]] = 0, "NA",(Table2245[[#This Row],[Brokerage]]/Table2245[[#This Row],[Total]])*100)</f>
        <v>NA</v>
      </c>
    </row>
    <row r="22" spans="1:12" x14ac:dyDescent="0.35">
      <c r="A22" s="93">
        <v>44397</v>
      </c>
      <c r="B22" s="93" t="s">
        <v>78</v>
      </c>
      <c r="C22" t="s">
        <v>98</v>
      </c>
      <c r="D22">
        <v>16</v>
      </c>
      <c r="E22">
        <v>667.42</v>
      </c>
      <c r="F22">
        <f t="shared" si="0"/>
        <v>10678.72</v>
      </c>
      <c r="G22">
        <v>12082.1</v>
      </c>
      <c r="J22">
        <f>(Table2245[[#This Row],[Available(SOD)]] + Table2245[[#This Row],[Add Fund]] - Table2245[[#This Row],[Withdraw Fund]]) - Table2245[[#This Row],[Total]]</f>
        <v>1403.380000000001</v>
      </c>
      <c r="K22" s="88">
        <f>IF(AND(Table2245[[#This Row],[Total]] = 0,(Table2245[[#This Row],[Available(EOD)]] - G23) &lt;= 0),"NA",G23-Table2245[[#This Row],[Available(EOD)]])</f>
        <v>-13.28000000000111</v>
      </c>
      <c r="L22" s="89">
        <f>IF(Table2245[[#This Row],[Total]] = 0, "NA",(Table2245[[#This Row],[Brokerage]]/Table2245[[#This Row],[Total]])*100)</f>
        <v>-0.12435947379462249</v>
      </c>
    </row>
    <row r="23" spans="1:12" x14ac:dyDescent="0.35">
      <c r="A23" s="93">
        <v>44397</v>
      </c>
      <c r="B23" s="93" t="s">
        <v>99</v>
      </c>
      <c r="C23" t="s">
        <v>120</v>
      </c>
      <c r="D23">
        <v>73</v>
      </c>
      <c r="E23">
        <v>369</v>
      </c>
      <c r="F23">
        <f t="shared" si="0"/>
        <v>26937</v>
      </c>
      <c r="G23">
        <v>1390.1</v>
      </c>
      <c r="J23">
        <f>(Table2245[[#This Row],[Available(SOD)]] + Table2245[[#This Row],[Add Fund]] - Table2245[[#This Row],[Withdraw Fund]]) + Table2245[[#This Row],[Total]]</f>
        <v>28327.1</v>
      </c>
      <c r="K23" s="90">
        <f>IF(AND(Table2245[[#This Row],[Total]] = 0,(Table2245[[#This Row],[Available(EOD)]] - G24) &lt;= 0),"NA",G24-Table2245[[#This Row],[Available(EOD)]])</f>
        <v>-44.099999999998545</v>
      </c>
      <c r="L23" s="89">
        <f>IF(Table2245[[#This Row],[Total]] = 0, "NA",(Table2245[[#This Row],[Brokerage]]/Table2245[[#This Row],[Total]])*100)</f>
        <v>-0.16371533578348943</v>
      </c>
    </row>
    <row r="24" spans="1:12" x14ac:dyDescent="0.35">
      <c r="A24" s="93">
        <v>44398</v>
      </c>
      <c r="B24" s="106" t="s">
        <v>121</v>
      </c>
      <c r="C24" s="1"/>
      <c r="D24" s="1"/>
      <c r="E24" s="1"/>
      <c r="F24" s="1"/>
      <c r="G24" s="1">
        <v>28283</v>
      </c>
      <c r="H24" s="1"/>
      <c r="I24" s="1"/>
      <c r="J24">
        <f>(Table2245[[#This Row],[Available(SOD)]] + Table2245[[#This Row],[Add Fund]] - Table2245[[#This Row],[Withdraw Fund]]) + Table2245[[#This Row],[Total]]</f>
        <v>28283</v>
      </c>
      <c r="K24" s="104"/>
      <c r="L24" s="105"/>
    </row>
    <row r="25" spans="1:12" x14ac:dyDescent="0.35">
      <c r="A25" s="93">
        <v>44399</v>
      </c>
      <c r="B25" s="93" t="s">
        <v>78</v>
      </c>
      <c r="C25" t="s">
        <v>98</v>
      </c>
      <c r="D25">
        <v>10</v>
      </c>
      <c r="E25">
        <v>662.16</v>
      </c>
      <c r="F25">
        <f t="shared" si="0"/>
        <v>6621.5999999999995</v>
      </c>
      <c r="G25" s="1">
        <v>28283</v>
      </c>
      <c r="J25">
        <f>(Table2245[[#This Row],[Available(SOD)]] + Table2245[[#This Row],[Add Fund]] - Table2245[[#This Row],[Withdraw Fund]]) - Table2245[[#This Row],[Total]]</f>
        <v>21661.4</v>
      </c>
      <c r="K25" s="88">
        <f>IF(AND(Table2245[[#This Row],[Total]] = 0,(Table2245[[#This Row],[Available(EOD)]] - G26) &lt;= 0),"NA",G26-Table2245[[#This Row],[Available(EOD)]])</f>
        <v>-8.3000000000029104</v>
      </c>
      <c r="L25" s="89">
        <f>IF(Table2245[[#This Row],[Total]] = 0, "NA",(Table2245[[#This Row],[Brokerage]]/Table2245[[#This Row],[Total]])*100)</f>
        <v>-0.12534734807301726</v>
      </c>
    </row>
    <row r="26" spans="1:12" x14ac:dyDescent="0.35">
      <c r="A26" s="93">
        <v>44400</v>
      </c>
      <c r="B26" s="93"/>
      <c r="F26">
        <f t="shared" si="0"/>
        <v>0</v>
      </c>
      <c r="G26">
        <v>21653.1</v>
      </c>
      <c r="J26">
        <f>(Table2245[[#This Row],[Available(SOD)]] + Table2245[[#This Row],[Add Fund]] - Table2245[[#This Row],[Withdraw Fund]]) - Table2245[[#This Row],[Total]]</f>
        <v>21653.1</v>
      </c>
      <c r="K26" s="88" t="str">
        <f>IF(AND(Table2245[[#This Row],[Total]] = 0,(Table2245[[#This Row],[Available(EOD)]] - G27) &lt;= 0),"NA",G27-Table2245[[#This Row],[Available(EOD)]])</f>
        <v>NA</v>
      </c>
      <c r="L26" s="89" t="str">
        <f>IF(Table2245[[#This Row],[Total]] = 0, "NA",(Table2245[[#This Row],[Brokerage]]/Table2245[[#This Row],[Total]])*100)</f>
        <v>NA</v>
      </c>
    </row>
    <row r="27" spans="1:12" x14ac:dyDescent="0.35">
      <c r="A27" s="93">
        <v>44401</v>
      </c>
      <c r="B27" s="93"/>
      <c r="F27">
        <f t="shared" si="0"/>
        <v>0</v>
      </c>
      <c r="G27">
        <v>21653.1</v>
      </c>
      <c r="J27">
        <f>(Table2245[[#This Row],[Available(SOD)]] + Table2245[[#This Row],[Add Fund]] - Table2245[[#This Row],[Withdraw Fund]]) - Table2245[[#This Row],[Total]]</f>
        <v>21653.1</v>
      </c>
      <c r="K27" s="88" t="str">
        <f>IF(AND(Table2245[[#This Row],[Total]] = 0,(Table2245[[#This Row],[Available(EOD)]] - G28) &lt;= 0),"NA",G28-Table2245[[#This Row],[Available(EOD)]])</f>
        <v>NA</v>
      </c>
      <c r="L27" s="89" t="str">
        <f>IF(Table2245[[#This Row],[Total]] = 0, "NA",(Table2245[[#This Row],[Brokerage]]/Table2245[[#This Row],[Total]])*100)</f>
        <v>NA</v>
      </c>
    </row>
    <row r="28" spans="1:12" x14ac:dyDescent="0.35">
      <c r="A28" s="93">
        <v>44402</v>
      </c>
      <c r="B28" s="93"/>
      <c r="G28">
        <v>21653.1</v>
      </c>
      <c r="J28">
        <f>(Table2245[[#This Row],[Available(SOD)]] + Table2245[[#This Row],[Add Fund]] - Table2245[[#This Row],[Withdraw Fund]]) + Table2245[[#This Row],[Total]]</f>
        <v>21653.1</v>
      </c>
      <c r="K28" s="88" t="str">
        <f>IF(AND(Table2245[[#This Row],[Total]] = 0,(Table2245[[#This Row],[Available(EOD)]] - G29) &lt;= 0),"NA",G29-Table2245[[#This Row],[Available(EOD)]])</f>
        <v>NA</v>
      </c>
      <c r="L28" s="89" t="str">
        <f>IF(Table2245[[#This Row],[Total]] = 0, "NA",(Table2245[[#This Row],[Brokerage]]/Table2245[[#This Row],[Total]])*100)</f>
        <v>NA</v>
      </c>
    </row>
    <row r="29" spans="1:12" x14ac:dyDescent="0.35">
      <c r="A29" s="93">
        <v>44403</v>
      </c>
      <c r="B29" s="93" t="s">
        <v>78</v>
      </c>
      <c r="C29" t="s">
        <v>118</v>
      </c>
      <c r="D29">
        <v>20</v>
      </c>
      <c r="E29">
        <v>456.82</v>
      </c>
      <c r="F29">
        <f t="shared" si="0"/>
        <v>9136.4</v>
      </c>
      <c r="G29">
        <v>21653.1</v>
      </c>
      <c r="J29">
        <f>(Table2245[[#This Row],[Available(SOD)]] + Table2245[[#This Row],[Add Fund]] - Table2245[[#This Row],[Withdraw Fund]]) - Table2245[[#This Row],[Total]]</f>
        <v>12516.699999999999</v>
      </c>
      <c r="K29" s="88">
        <f>IF(AND(Table2245[[#This Row],[Total]] = 0,(Table2245[[#This Row],[Available(EOD)]] - G30) &lt;= 0),"NA",G30-Table2245[[#This Row],[Available(EOD)]])</f>
        <v>-10.499999999998181</v>
      </c>
      <c r="L29" s="89">
        <f>IF(Table2245[[#This Row],[Total]] = 0, "NA",(Table2245[[#This Row],[Brokerage]]/Table2245[[#This Row],[Total]])*100)</f>
        <v>-0.11492491572170857</v>
      </c>
    </row>
    <row r="30" spans="1:12" x14ac:dyDescent="0.35">
      <c r="A30" s="93">
        <v>44404</v>
      </c>
      <c r="B30" s="93" t="s">
        <v>78</v>
      </c>
      <c r="C30" t="s">
        <v>118</v>
      </c>
      <c r="D30">
        <v>10</v>
      </c>
      <c r="E30">
        <v>452.9</v>
      </c>
      <c r="F30">
        <f t="shared" si="0"/>
        <v>4529</v>
      </c>
      <c r="G30">
        <v>12506.2</v>
      </c>
      <c r="J30">
        <f>(Table2245[[#This Row],[Available(SOD)]] + Table2245[[#This Row],[Add Fund]] - Table2245[[#This Row],[Withdraw Fund]]) - Table2245[[#This Row],[Total]]</f>
        <v>7977.2000000000007</v>
      </c>
      <c r="K30" s="88">
        <f>IF(AND(Table2245[[#This Row],[Total]] = 0,(Table2245[[#This Row],[Available(EOD)]] - G31) &lt;= 0),"NA",G31-Table2245[[#This Row],[Available(EOD)]])</f>
        <v>-6.2000000000007276</v>
      </c>
      <c r="L30" s="89">
        <f>IF(Table2245[[#This Row],[Total]] = 0, "NA",(Table2245[[#This Row],[Brokerage]]/Table2245[[#This Row],[Total]])*100)</f>
        <v>-0.13689556193421787</v>
      </c>
    </row>
    <row r="31" spans="1:12" x14ac:dyDescent="0.35">
      <c r="A31" s="93">
        <v>44405</v>
      </c>
      <c r="B31" s="93" t="s">
        <v>78</v>
      </c>
      <c r="C31" t="s">
        <v>118</v>
      </c>
      <c r="D31">
        <v>26</v>
      </c>
      <c r="E31">
        <v>449.19</v>
      </c>
      <c r="F31">
        <f t="shared" si="0"/>
        <v>11678.94</v>
      </c>
      <c r="G31">
        <v>7971</v>
      </c>
      <c r="H31">
        <v>4500</v>
      </c>
      <c r="J31">
        <f>(Table2245[[#This Row],[Available(SOD)]] + Table2245[[#This Row],[Add Fund]] - Table2245[[#This Row],[Withdraw Fund]]) - Table2245[[#This Row],[Total]]</f>
        <v>792.05999999999949</v>
      </c>
      <c r="K31" s="88">
        <f>IF(AND(Table2245[[#This Row],[Total]] = 0,(Table2245[[#This Row],[Available(EOD)]] - G32) &lt;= 0),"NA",G32-Table2245[[#This Row],[Available(EOD)]])</f>
        <v>-14.459999999999468</v>
      </c>
      <c r="L31" s="89">
        <f>IF(Table2245[[#This Row],[Total]] = 0, "NA",(Table2245[[#This Row],[Brokerage]]/Table2245[[#This Row],[Total]])*100)</f>
        <v>-0.12381260628104492</v>
      </c>
    </row>
    <row r="32" spans="1:12" x14ac:dyDescent="0.35">
      <c r="A32" s="93">
        <v>44406</v>
      </c>
      <c r="B32" s="93"/>
      <c r="G32">
        <v>777.6</v>
      </c>
      <c r="J32">
        <f>(Table2245[[#This Row],[Available(SOD)]] + Table2245[[#This Row],[Add Fund]] - Table2245[[#This Row],[Withdraw Fund]]) - Table2245[[#This Row],[Total]]</f>
        <v>777.6</v>
      </c>
      <c r="K32" s="88" t="str">
        <f>IF(AND(Table2245[[#This Row],[Total]] = 0,(Table2245[[#This Row],[Available(EOD)]] - G33) &lt;= 0),"NA",G33-Table2245[[#This Row],[Available(EOD)]])</f>
        <v>NA</v>
      </c>
      <c r="L32" s="89" t="str">
        <f>IF(Table2245[[#This Row],[Total]] = 0, "NA",(Table2245[[#This Row],[Brokerage]]/Table2245[[#This Row],[Total]])*100)</f>
        <v>NA</v>
      </c>
    </row>
    <row r="33" spans="1:12" x14ac:dyDescent="0.35">
      <c r="A33" s="93">
        <v>44407</v>
      </c>
      <c r="B33" s="93" t="s">
        <v>78</v>
      </c>
      <c r="C33" t="s">
        <v>118</v>
      </c>
      <c r="D33">
        <v>46</v>
      </c>
      <c r="E33">
        <v>445.66</v>
      </c>
      <c r="F33">
        <f>D33*E33</f>
        <v>20500.36</v>
      </c>
      <c r="G33">
        <v>777.6</v>
      </c>
      <c r="H33">
        <v>20000</v>
      </c>
      <c r="J33">
        <f>(Table2245[[#This Row],[Available(SOD)]] + Table2245[[#This Row],[Add Fund]] - Table2245[[#This Row],[Withdraw Fund]]) - Table2245[[#This Row],[Total]]</f>
        <v>277.23999999999796</v>
      </c>
      <c r="K33" s="88">
        <f>IF(AND(Table2245[[#This Row],[Total]] = 0,(Table2245[[#This Row],[Available(EOD)]] - G34) &lt;= 0),"NA",G34-Table2245[[#This Row],[Available(EOD)]])</f>
        <v>-24.739999999997963</v>
      </c>
      <c r="L33" s="89">
        <f>IF(Table2245[[#This Row],[Total]] = 0, "NA",(Table2245[[#This Row],[Brokerage]]/Table2245[[#This Row],[Total]])*100)</f>
        <v>-0.12068080755654029</v>
      </c>
    </row>
    <row r="34" spans="1:12" x14ac:dyDescent="0.35">
      <c r="A34" s="93">
        <v>44408</v>
      </c>
      <c r="B34" s="93"/>
      <c r="G34">
        <v>252.5</v>
      </c>
      <c r="K34" s="90"/>
      <c r="L34" s="89"/>
    </row>
  </sheetData>
  <conditionalFormatting sqref="B13:B14 B17:B21 B9:B10 B25:B29 A2:B5 B6 A6:A10 A16:A21 A24:A29 A31:A34 A12:A14">
    <cfRule type="beginsWith" dxfId="51" priority="13" operator="beginsWith" text="Sunday">
      <formula>LEFT(A2,LEN("Sunday"))="Sunday"</formula>
    </cfRule>
  </conditionalFormatting>
  <conditionalFormatting sqref="B8">
    <cfRule type="beginsWith" dxfId="50" priority="11" operator="beginsWith" text="Sunday">
      <formula>LEFT(B8,LEN("Sunday"))="Sunday"</formula>
    </cfRule>
  </conditionalFormatting>
  <conditionalFormatting sqref="B16:C16 H16:I16 M16:N16">
    <cfRule type="beginsWith" dxfId="49" priority="10" operator="beginsWith" text="Sunday">
      <formula>LEFT(B16,LEN("Sunday"))="Sunday"</formula>
    </cfRule>
  </conditionalFormatting>
  <conditionalFormatting sqref="B24">
    <cfRule type="beginsWith" dxfId="48" priority="7" operator="beginsWith" text="Sunday">
      <formula>LEFT(B24,LEN("Sunday"))="Sunday"</formula>
    </cfRule>
  </conditionalFormatting>
  <conditionalFormatting sqref="B31">
    <cfRule type="beginsWith" dxfId="47" priority="5" operator="beginsWith" text="Sunday">
      <formula>LEFT(B31,LEN("Sunday"))="Sunday"</formula>
    </cfRule>
  </conditionalFormatting>
  <conditionalFormatting sqref="A15:B15">
    <cfRule type="beginsWith" dxfId="46" priority="4" operator="beginsWith" text="Sunday">
      <formula>LEFT(A15,LEN("Sunday"))="Sunday"</formula>
    </cfRule>
  </conditionalFormatting>
  <conditionalFormatting sqref="A22:B23">
    <cfRule type="beginsWith" dxfId="45" priority="3" operator="beginsWith" text="Sunday">
      <formula>LEFT(A22,LEN("Sunday"))="Sunday"</formula>
    </cfRule>
  </conditionalFormatting>
  <conditionalFormatting sqref="A30:B30">
    <cfRule type="beginsWith" dxfId="44" priority="2" operator="beginsWith" text="Sunday">
      <formula>LEFT(A30,LEN("Sunday"))="Sunday"</formula>
    </cfRule>
  </conditionalFormatting>
  <conditionalFormatting sqref="A11:B11">
    <cfRule type="beginsWith" dxfId="43" priority="1" operator="beginsWith" text="Sunday">
      <formula>LEFT(A11,LEN("Sunday"))="Sunday"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2"/>
  <sheetViews>
    <sheetView topLeftCell="A16" zoomScale="90" zoomScaleNormal="90" workbookViewId="0">
      <selection activeCell="E31" sqref="E31"/>
    </sheetView>
  </sheetViews>
  <sheetFormatPr defaultRowHeight="14.5" x14ac:dyDescent="0.35"/>
  <cols>
    <col min="1" max="1" width="25.1796875" style="92" customWidth="1"/>
    <col min="2" max="2" width="10.54296875" style="92" customWidth="1"/>
    <col min="3" max="3" width="15.26953125" bestFit="1" customWidth="1"/>
    <col min="4" max="4" width="6.7265625" customWidth="1"/>
    <col min="5" max="5" width="15.54296875" customWidth="1"/>
    <col min="6" max="6" width="9.453125" bestFit="1" customWidth="1"/>
    <col min="7" max="7" width="15.1796875" customWidth="1"/>
    <col min="8" max="8" width="8.7265625" customWidth="1"/>
    <col min="9" max="9" width="9" customWidth="1"/>
    <col min="10" max="10" width="12" customWidth="1"/>
    <col min="11" max="11" width="13.08984375" customWidth="1"/>
    <col min="12" max="12" width="11.54296875" customWidth="1"/>
    <col min="13" max="13" width="50.1796875" bestFit="1" customWidth="1"/>
    <col min="14" max="14" width="18.08984375" customWidth="1"/>
  </cols>
  <sheetData>
    <row r="1" spans="1:14" x14ac:dyDescent="0.35">
      <c r="A1" s="92" t="s">
        <v>0</v>
      </c>
      <c r="B1" s="92" t="s">
        <v>77</v>
      </c>
      <c r="C1" t="s">
        <v>66</v>
      </c>
      <c r="D1" t="s">
        <v>67</v>
      </c>
      <c r="E1" t="s">
        <v>68</v>
      </c>
      <c r="F1" t="s">
        <v>72</v>
      </c>
      <c r="G1" t="s">
        <v>69</v>
      </c>
      <c r="H1" t="s">
        <v>80</v>
      </c>
      <c r="I1" t="s">
        <v>81</v>
      </c>
      <c r="J1" t="s">
        <v>70</v>
      </c>
      <c r="K1" t="s">
        <v>73</v>
      </c>
      <c r="L1" t="s">
        <v>74</v>
      </c>
      <c r="M1" t="s">
        <v>75</v>
      </c>
      <c r="N1" t="s">
        <v>76</v>
      </c>
    </row>
    <row r="2" spans="1:14" x14ac:dyDescent="0.35">
      <c r="A2" s="93">
        <v>44409</v>
      </c>
      <c r="B2" s="93"/>
      <c r="D2" s="91"/>
      <c r="F2">
        <f>D2*E2</f>
        <v>0</v>
      </c>
      <c r="G2">
        <v>252.5</v>
      </c>
      <c r="J2">
        <f>(Table22456[[#This Row],[Available(SOD)]] + Table22456[[#This Row],[Add Fund]] - Table22456[[#This Row],[Withdraw Fund]]) - Table22456[[#This Row],[Total]]</f>
        <v>252.5</v>
      </c>
      <c r="K2" s="88" t="str">
        <f>IF(AND(Table22456[[#This Row],[Total]] = 0,(Table22456[[#This Row],[Available(EOD)]] - G3) &lt;= 0),"NA",G3-Table22456[[#This Row],[Available(EOD)]])</f>
        <v>NA</v>
      </c>
      <c r="L2" s="89" t="str">
        <f>IF(Table22456[[#This Row],[Total]] = 0, "NA",(Table22456[[#This Row],[Brokerage]]/Table22456[[#This Row],[Total]])*100)</f>
        <v>NA</v>
      </c>
    </row>
    <row r="3" spans="1:14" x14ac:dyDescent="0.35">
      <c r="A3" s="93">
        <v>44410</v>
      </c>
      <c r="B3" s="93"/>
      <c r="F3" s="103">
        <v>0</v>
      </c>
      <c r="G3">
        <v>252.5</v>
      </c>
      <c r="J3">
        <f>(Table22456[[#This Row],[Available(SOD)]] + Table22456[[#This Row],[Add Fund]] - Table22456[[#This Row],[Withdraw Fund]]) + Table22456[[#This Row],[Total]]</f>
        <v>252.5</v>
      </c>
      <c r="K3" s="88" t="str">
        <f>IF(AND(Table22456[[#This Row],[Total]] = 0,(Table22456[[#This Row],[Available(EOD)]] - G4) &lt;= 0),"NA",G4-Table22456[[#This Row],[Available(EOD)]])</f>
        <v>NA</v>
      </c>
      <c r="L3" s="89" t="str">
        <f>IF(Table22456[[#This Row],[Total]] = 0, "NA",(Table22456[[#This Row],[Brokerage]]/Table22456[[#This Row],[Total]])*100)</f>
        <v>NA</v>
      </c>
    </row>
    <row r="4" spans="1:14" x14ac:dyDescent="0.35">
      <c r="A4" s="93">
        <v>44411</v>
      </c>
      <c r="B4" s="93"/>
      <c r="F4">
        <f t="shared" ref="F4:F31" si="0">D4*E4</f>
        <v>0</v>
      </c>
      <c r="G4">
        <v>252.5</v>
      </c>
      <c r="J4">
        <f>(Table22456[[#This Row],[Available(SOD)]] + Table22456[[#This Row],[Add Fund]] - Table22456[[#This Row],[Withdraw Fund]]) - Table22456[[#This Row],[Total]]</f>
        <v>252.5</v>
      </c>
      <c r="K4" s="88" t="str">
        <f>IF(AND(Table22456[[#This Row],[Total]] = 0,(Table22456[[#This Row],[Available(EOD)]] - G5) &lt;= 0),"NA",G5-Table22456[[#This Row],[Available(EOD)]])</f>
        <v>NA</v>
      </c>
      <c r="L4" s="89" t="str">
        <f>IF(Table22456[[#This Row],[Total]] = 0, "NA",(Table22456[[#This Row],[Brokerage]]/Table22456[[#This Row],[Total]])*100)</f>
        <v>NA</v>
      </c>
    </row>
    <row r="5" spans="1:14" x14ac:dyDescent="0.35">
      <c r="A5" s="93">
        <v>44412</v>
      </c>
      <c r="B5" s="93"/>
      <c r="F5">
        <f t="shared" si="0"/>
        <v>0</v>
      </c>
      <c r="G5">
        <v>252.5</v>
      </c>
      <c r="J5">
        <f>(Table22456[[#This Row],[Available(SOD)]] + Table22456[[#This Row],[Add Fund]] - Table22456[[#This Row],[Withdraw Fund]]) - Table22456[[#This Row],[Total]]</f>
        <v>252.5</v>
      </c>
      <c r="K5" s="88" t="str">
        <f>IF(AND(Table22456[[#This Row],[Total]] = 0,(Table22456[[#This Row],[Available(EOD)]] - G6) &lt;= 0),"NA",G6-Table22456[[#This Row],[Available(EOD)]])</f>
        <v>NA</v>
      </c>
      <c r="L5" s="89" t="str">
        <f>IF(Table22456[[#This Row],[Total]] = 0, "NA",(Table22456[[#This Row],[Brokerage]]/Table22456[[#This Row],[Total]])*100)</f>
        <v>NA</v>
      </c>
    </row>
    <row r="6" spans="1:14" x14ac:dyDescent="0.35">
      <c r="A6" s="93">
        <v>44413</v>
      </c>
      <c r="B6" s="93"/>
      <c r="E6" s="94"/>
      <c r="F6">
        <f t="shared" si="0"/>
        <v>0</v>
      </c>
      <c r="G6">
        <v>252.5</v>
      </c>
      <c r="J6">
        <f>(Table22456[[#This Row],[Available(SOD)]] + Table22456[[#This Row],[Add Fund]] - Table22456[[#This Row],[Withdraw Fund]]) - Table22456[[#This Row],[Total]]</f>
        <v>252.5</v>
      </c>
      <c r="K6" s="88" t="s">
        <v>96</v>
      </c>
      <c r="L6" s="99" t="str">
        <f>IF(Table22456[[#This Row],[Total]] = 0, "NA",(Table22456[[#This Row],[Brokerage]]/Table22456[[#This Row],[Total]])*100)</f>
        <v>NA</v>
      </c>
    </row>
    <row r="7" spans="1:14" x14ac:dyDescent="0.35">
      <c r="A7" s="93">
        <v>44414</v>
      </c>
      <c r="B7"/>
      <c r="F7">
        <f t="shared" si="0"/>
        <v>0</v>
      </c>
      <c r="G7">
        <v>252.5</v>
      </c>
      <c r="J7">
        <f>(Table22456[[#This Row],[Available(SOD)]] + Table22456[[#This Row],[Add Fund]] - Table22456[[#This Row],[Withdraw Fund]]) + Table22456[[#This Row],[Total]]</f>
        <v>252.5</v>
      </c>
      <c r="K7" s="88" t="str">
        <f>IF(AND(Table22456[[#This Row],[Total]] = 0,(Table22456[[#This Row],[Available(EOD)]] - G8) &lt;= 0),"NA",G8-Table22456[[#This Row],[Available(EOD)]])</f>
        <v>NA</v>
      </c>
      <c r="L7" s="88" t="str">
        <f>IF(Table22456[[#This Row],[Total]] = 0, "NA",(Table22456[[#This Row],[Brokerage]]/Table22456[[#This Row],[Total]])*100)</f>
        <v>NA</v>
      </c>
    </row>
    <row r="8" spans="1:14" x14ac:dyDescent="0.35">
      <c r="A8" s="93">
        <v>44415</v>
      </c>
      <c r="B8" s="93"/>
      <c r="E8" s="94"/>
      <c r="F8">
        <f t="shared" si="0"/>
        <v>0</v>
      </c>
      <c r="G8">
        <v>252.5</v>
      </c>
      <c r="J8">
        <f>(Table22456[[#This Row],[Available(SOD)]] + Table22456[[#This Row],[Add Fund]] - Table22456[[#This Row],[Withdraw Fund]]) - Table22456[[#This Row],[Total]]</f>
        <v>252.5</v>
      </c>
      <c r="K8" s="88" t="str">
        <f>IF(AND(Table22456[[#This Row],[Total]] = 0,(Table22456[[#This Row],[Available(EOD)]] - G9) &lt;= 0),"NA",G9-Table22456[[#This Row],[Available(EOD)]])</f>
        <v>NA</v>
      </c>
      <c r="L8" s="99" t="str">
        <f>IF(Table22456[[#This Row],[Total]] = 0, "NA",(Table22456[[#This Row],[Brokerage]]/Table22456[[#This Row],[Total]])*100)</f>
        <v>NA</v>
      </c>
    </row>
    <row r="9" spans="1:14" x14ac:dyDescent="0.35">
      <c r="A9" s="93">
        <v>44416</v>
      </c>
      <c r="B9" s="93"/>
      <c r="F9">
        <f t="shared" si="0"/>
        <v>0</v>
      </c>
      <c r="G9">
        <v>252.5</v>
      </c>
      <c r="J9">
        <f>(Table22456[[#This Row],[Available(SOD)]] + Table22456[[#This Row],[Add Fund]] - Table22456[[#This Row],[Withdraw Fund]]) - Table22456[[#This Row],[Total]]</f>
        <v>252.5</v>
      </c>
      <c r="K9" s="88" t="str">
        <f>IF(AND(Table22456[[#This Row],[Total]] = 0,(Table22456[[#This Row],[Available(EOD)]] - G10) &lt;= 0),"NA",G10-Table22456[[#This Row],[Available(EOD)]])</f>
        <v>NA</v>
      </c>
      <c r="L9" s="89" t="str">
        <f>IF(Table22456[[#This Row],[Total]] = 0, "NA",(Table22456[[#This Row],[Brokerage]]/Table22456[[#This Row],[Total]])*100)</f>
        <v>NA</v>
      </c>
    </row>
    <row r="10" spans="1:14" x14ac:dyDescent="0.35">
      <c r="A10" s="93">
        <v>44417</v>
      </c>
      <c r="B10" s="93"/>
      <c r="F10">
        <f t="shared" si="0"/>
        <v>0</v>
      </c>
      <c r="G10">
        <v>252.5</v>
      </c>
      <c r="J10">
        <f>(Table22456[[#This Row],[Available(SOD)]] + Table22456[[#This Row],[Add Fund]] - Table22456[[#This Row],[Withdraw Fund]]) - Table22456[[#This Row],[Total]]</f>
        <v>252.5</v>
      </c>
      <c r="K10" s="88" t="s">
        <v>96</v>
      </c>
      <c r="L10" s="89" t="str">
        <f>IF(Table22456[[#This Row],[Total]] = 0, "NA",(Table22456[[#This Row],[Brokerage]]/Table22456[[#This Row],[Total]])*100)</f>
        <v>NA</v>
      </c>
    </row>
    <row r="11" spans="1:14" x14ac:dyDescent="0.35">
      <c r="A11" s="93">
        <v>44418</v>
      </c>
      <c r="B11" s="93" t="s">
        <v>78</v>
      </c>
      <c r="C11" t="s">
        <v>118</v>
      </c>
      <c r="D11">
        <v>128</v>
      </c>
      <c r="E11">
        <v>445.69</v>
      </c>
      <c r="F11">
        <f t="shared" si="0"/>
        <v>57048.32</v>
      </c>
      <c r="G11">
        <v>252.5</v>
      </c>
      <c r="H11">
        <v>60000</v>
      </c>
      <c r="J11">
        <f>(Table22456[[#This Row],[Available(SOD)]] + Table22456[[#This Row],[Add Fund]] - Table22456[[#This Row],[Withdraw Fund]]) - Table22456[[#This Row],[Total]]</f>
        <v>3204.1800000000003</v>
      </c>
      <c r="K11" s="88">
        <f>IF(AND(Table22456[[#This Row],[Total]] = 0,(Table22456[[#This Row],[Available(EOD)]] - G12) &lt;= 0),"NA",G12-Table22456[[#This Row],[Available(EOD)]])</f>
        <v>-68.180000000000291</v>
      </c>
      <c r="L11" s="89">
        <f>IF(Table22456[[#This Row],[Total]] = 0, "NA",(Table22456[[#This Row],[Brokerage]]/Table22456[[#This Row],[Total]])*100)</f>
        <v>-0.11951272184702423</v>
      </c>
      <c r="M11" t="s">
        <v>122</v>
      </c>
    </row>
    <row r="12" spans="1:14" x14ac:dyDescent="0.35">
      <c r="A12" s="93">
        <v>44419</v>
      </c>
      <c r="B12" t="s">
        <v>78</v>
      </c>
      <c r="C12" t="s">
        <v>118</v>
      </c>
      <c r="D12">
        <v>6</v>
      </c>
      <c r="E12">
        <v>442.6</v>
      </c>
      <c r="F12">
        <f t="shared" si="0"/>
        <v>2655.6000000000004</v>
      </c>
      <c r="G12">
        <v>3136</v>
      </c>
      <c r="H12">
        <v>5000</v>
      </c>
      <c r="J12">
        <f>(Table22456[[#This Row],[Available(SOD)]] + Table22456[[#This Row],[Add Fund]] - Table22456[[#This Row],[Withdraw Fund]]) - Table22456[[#This Row],[Total]]</f>
        <v>5480.4</v>
      </c>
      <c r="K12" s="88">
        <f>IF(AND(Table22456[[#This Row],[Total]] = 0,(Table22456[[#This Row],[Available(EOD)]] - G13) &lt;= 0),"NA",G13-Table22456[[#This Row],[Available(EOD)]])</f>
        <v>-3.1999999999998181</v>
      </c>
      <c r="L12" s="89">
        <f>IF(Table22456[[#This Row],[Total]] = 0, "NA",(Table22456[[#This Row],[Brokerage]]/Table22456[[#This Row],[Total]])*100)</f>
        <v>-0.1205000753125402</v>
      </c>
    </row>
    <row r="13" spans="1:14" x14ac:dyDescent="0.35">
      <c r="A13" s="93">
        <v>44420</v>
      </c>
      <c r="B13" s="93"/>
      <c r="F13">
        <f t="shared" si="0"/>
        <v>0</v>
      </c>
      <c r="G13">
        <v>5477.2</v>
      </c>
      <c r="J13">
        <f>(Table22456[[#This Row],[Available(SOD)]] + Table22456[[#This Row],[Add Fund]] - Table22456[[#This Row],[Withdraw Fund]]) - Table22456[[#This Row],[Total]]</f>
        <v>5477.2</v>
      </c>
      <c r="K13" s="88" t="str">
        <f>IF(AND(Table22456[[#This Row],[Total]] = 0,(Table22456[[#This Row],[Available(EOD)]] - G14) &lt;= 0),"NA",G14-Table22456[[#This Row],[Available(EOD)]])</f>
        <v>NA</v>
      </c>
      <c r="L13" s="89" t="str">
        <f>IF(Table22456[[#This Row],[Total]] = 0, "NA",(Table22456[[#This Row],[Brokerage]]/Table22456[[#This Row],[Total]])*100)</f>
        <v>NA</v>
      </c>
    </row>
    <row r="14" spans="1:14" x14ac:dyDescent="0.35">
      <c r="A14" s="93">
        <v>44421</v>
      </c>
      <c r="B14" s="93"/>
      <c r="F14">
        <f t="shared" si="0"/>
        <v>0</v>
      </c>
      <c r="G14">
        <v>5477.2</v>
      </c>
      <c r="I14">
        <v>5477</v>
      </c>
      <c r="J14">
        <f>(Table22456[[#This Row],[Available(SOD)]] + Table22456[[#This Row],[Add Fund]] - Table22456[[#This Row],[Withdraw Fund]]) - Table22456[[#This Row],[Total]]</f>
        <v>0.1999999999998181</v>
      </c>
      <c r="K14" s="88" t="str">
        <f>IF(AND(Table22456[[#This Row],[Total]] = 0,(Table22456[[#This Row],[Available(EOD)]] - G15) &lt;= 0),"NA",G15-Table22456[[#This Row],[Available(EOD)]])</f>
        <v>NA</v>
      </c>
      <c r="L14" s="89" t="str">
        <f>IF(Table22456[[#This Row],[Total]] = 0, "NA",(Table22456[[#This Row],[Brokerage]]/Table22456[[#This Row],[Total]])*100)</f>
        <v>NA</v>
      </c>
    </row>
    <row r="15" spans="1:14" x14ac:dyDescent="0.35">
      <c r="A15" s="93">
        <v>44422</v>
      </c>
      <c r="B15" s="93"/>
      <c r="F15">
        <f t="shared" si="0"/>
        <v>0</v>
      </c>
      <c r="G15">
        <v>0.2</v>
      </c>
      <c r="J15">
        <f>(Table22456[[#This Row],[Available(SOD)]] + Table22456[[#This Row],[Add Fund]] - Table22456[[#This Row],[Withdraw Fund]]) - Table22456[[#This Row],[Total]]</f>
        <v>0.2</v>
      </c>
      <c r="K15" s="88" t="str">
        <f>IF(AND(Table22456[[#This Row],[Total]] = 0,(Table22456[[#This Row],[Available(EOD)]] - G16) &lt;= 0),"NA",G16-Table22456[[#This Row],[Available(EOD)]])</f>
        <v>NA</v>
      </c>
      <c r="L15" s="89" t="str">
        <f>IF(Table22456[[#This Row],[Total]] = 0, "NA",(Table22456[[#This Row],[Brokerage]]/Table22456[[#This Row],[Total]])*100)</f>
        <v>NA</v>
      </c>
    </row>
    <row r="16" spans="1:14" x14ac:dyDescent="0.35">
      <c r="A16" s="93">
        <v>44423</v>
      </c>
      <c r="B16" s="93"/>
      <c r="C16" s="93"/>
      <c r="G16">
        <v>0.2</v>
      </c>
      <c r="H16" s="93"/>
      <c r="I16" s="93"/>
      <c r="J16">
        <f>(Table22456[[#This Row],[Available(SOD)]] + Table22456[[#This Row],[Add Fund]] - Table22456[[#This Row],[Withdraw Fund]]) - Table22456[[#This Row],[Total]]</f>
        <v>0.2</v>
      </c>
      <c r="K16" s="88" t="str">
        <f>IF(AND(Table22456[[#This Row],[Total]] = 0,(Table22456[[#This Row],[Available(EOD)]] - G17) &lt;= 0),"NA",G17-Table22456[[#This Row],[Available(EOD)]])</f>
        <v>NA</v>
      </c>
      <c r="L16" s="89" t="str">
        <f>IF(Table22456[[#This Row],[Total]] = 0, "NA",(Table22456[[#This Row],[Brokerage]]/Table22456[[#This Row],[Total]])*100)</f>
        <v>NA</v>
      </c>
      <c r="M16" s="93"/>
      <c r="N16" s="93"/>
    </row>
    <row r="17" spans="1:13" x14ac:dyDescent="0.35">
      <c r="A17" s="93">
        <v>44424</v>
      </c>
      <c r="B17" s="93"/>
      <c r="G17">
        <v>0.2</v>
      </c>
      <c r="J17">
        <f>(Table22456[[#This Row],[Available(SOD)]] + Table22456[[#This Row],[Add Fund]] - Table22456[[#This Row],[Withdraw Fund]]) - Table22456[[#This Row],[Total]]</f>
        <v>0.2</v>
      </c>
      <c r="K17" s="88" t="str">
        <f>IF(AND(Table22456[[#This Row],[Total]] = 0,(Table22456[[#This Row],[Available(EOD)]] - G18) &lt;= 0),"NA",G18-Table22456[[#This Row],[Available(EOD)]])</f>
        <v>NA</v>
      </c>
      <c r="L17" s="89" t="str">
        <f>IF(Table22456[[#This Row],[Total]] = 0, "NA",(Table22456[[#This Row],[Brokerage]]/Table22456[[#This Row],[Total]])*100)</f>
        <v>NA</v>
      </c>
    </row>
    <row r="18" spans="1:13" x14ac:dyDescent="0.35">
      <c r="A18" s="93">
        <v>44425</v>
      </c>
      <c r="B18" s="93"/>
      <c r="G18">
        <v>0.2</v>
      </c>
      <c r="J18">
        <f>(Table22456[[#This Row],[Available(SOD)]] + Table22456[[#This Row],[Add Fund]] - Table22456[[#This Row],[Withdraw Fund]]) - Table22456[[#This Row],[Total]]</f>
        <v>0.2</v>
      </c>
      <c r="K18" s="88" t="str">
        <f>IF(AND(Table22456[[#This Row],[Total]] = 0,(Table22456[[#This Row],[Available(EOD)]] - G19) &lt;= 0),"NA",G19-Table22456[[#This Row],[Available(EOD)]])</f>
        <v>NA</v>
      </c>
      <c r="L18" s="89" t="str">
        <f>IF(Table22456[[#This Row],[Total]] = 0, "NA",(Table22456[[#This Row],[Brokerage]]/Table22456[[#This Row],[Total]])*100)</f>
        <v>NA</v>
      </c>
    </row>
    <row r="19" spans="1:13" x14ac:dyDescent="0.35">
      <c r="A19" s="93">
        <v>44426</v>
      </c>
      <c r="B19" s="93"/>
      <c r="G19">
        <v>0.2</v>
      </c>
      <c r="K19" s="88" t="str">
        <f>IF(AND(Table22456[[#This Row],[Total]] = 0,(Table22456[[#This Row],[Available(EOD)]] - G20) &lt;= 0),"NA",G20-Table22456[[#This Row],[Available(EOD)]])</f>
        <v>NA</v>
      </c>
      <c r="L19" s="89" t="str">
        <f>IF(Table22456[[#This Row],[Total]] = 0, "NA",(Table22456[[#This Row],[Brokerage]]/Table22456[[#This Row],[Total]])*100)</f>
        <v>NA</v>
      </c>
    </row>
    <row r="20" spans="1:13" x14ac:dyDescent="0.35">
      <c r="A20" s="93">
        <v>44427</v>
      </c>
      <c r="B20" s="106" t="s">
        <v>121</v>
      </c>
      <c r="J20">
        <f>(Table22456[[#This Row],[Available(SOD)]] + Table22456[[#This Row],[Add Fund]] - Table22456[[#This Row],[Withdraw Fund]]) - Table22456[[#This Row],[Total]]</f>
        <v>0</v>
      </c>
      <c r="K20" s="88" t="str">
        <f>IF(AND(Table22456[[#This Row],[Total]] = 0,(Table22456[[#This Row],[Available(EOD)]] - G21) &lt;= 0),"NA",G21-Table22456[[#This Row],[Available(EOD)]])</f>
        <v>NA</v>
      </c>
      <c r="L20" s="89" t="str">
        <f>IF(Table22456[[#This Row],[Total]] = 0, "NA",(Table22456[[#This Row],[Brokerage]]/Table22456[[#This Row],[Total]])*100)</f>
        <v>NA</v>
      </c>
    </row>
    <row r="21" spans="1:13" x14ac:dyDescent="0.35">
      <c r="A21" s="93">
        <v>44428</v>
      </c>
      <c r="B21" s="93"/>
      <c r="J21">
        <f>(Table22456[[#This Row],[Available(SOD)]] + Table22456[[#This Row],[Add Fund]] - Table22456[[#This Row],[Withdraw Fund]]) - Table22456[[#This Row],[Total]]</f>
        <v>0</v>
      </c>
      <c r="K21" s="88" t="str">
        <f>IF(AND(Table22456[[#This Row],[Total]] = 0,(Table22456[[#This Row],[Available(EOD)]] - G22) &lt;= 0),"NA",G22-Table22456[[#This Row],[Available(EOD)]])</f>
        <v>NA</v>
      </c>
      <c r="L21" s="89" t="str">
        <f>IF(Table22456[[#This Row],[Total]] = 0, "NA",(Table22456[[#This Row],[Brokerage]]/Table22456[[#This Row],[Total]])*100)</f>
        <v>NA</v>
      </c>
    </row>
    <row r="22" spans="1:13" x14ac:dyDescent="0.35">
      <c r="A22" s="93">
        <v>44429</v>
      </c>
      <c r="B22" s="93"/>
      <c r="F22">
        <f t="shared" si="0"/>
        <v>0</v>
      </c>
      <c r="J22">
        <f>(Table22456[[#This Row],[Available(SOD)]] + Table22456[[#This Row],[Add Fund]] - Table22456[[#This Row],[Withdraw Fund]]) - Table22456[[#This Row],[Total]]</f>
        <v>0</v>
      </c>
      <c r="K22" s="88" t="str">
        <f>IF(AND(Table22456[[#This Row],[Total]] = 0,(Table22456[[#This Row],[Available(EOD)]] - G23) &lt;= 0),"NA",G23-Table22456[[#This Row],[Available(EOD)]])</f>
        <v>NA</v>
      </c>
      <c r="L22" s="89" t="str">
        <f>IF(Table22456[[#This Row],[Total]] = 0, "NA",(Table22456[[#This Row],[Brokerage]]/Table22456[[#This Row],[Total]])*100)</f>
        <v>NA</v>
      </c>
    </row>
    <row r="23" spans="1:13" x14ac:dyDescent="0.35">
      <c r="A23" s="93">
        <v>44430</v>
      </c>
      <c r="B23" s="93"/>
      <c r="F23">
        <f t="shared" si="0"/>
        <v>0</v>
      </c>
      <c r="J23">
        <f>(Table22456[[#This Row],[Available(SOD)]] + Table22456[[#This Row],[Add Fund]] - Table22456[[#This Row],[Withdraw Fund]]) + Table22456[[#This Row],[Total]]</f>
        <v>0</v>
      </c>
      <c r="K23" s="90" t="str">
        <f>IF(AND(Table22456[[#This Row],[Total]] = 0,(Table22456[[#This Row],[Available(EOD)]] - G24) &lt;= 0),"NA",G24-Table22456[[#This Row],[Available(EOD)]])</f>
        <v>NA</v>
      </c>
      <c r="L23" s="89" t="str">
        <f>IF(Table22456[[#This Row],[Total]] = 0, "NA",(Table22456[[#This Row],[Brokerage]]/Table22456[[#This Row],[Total]])*100)</f>
        <v>NA</v>
      </c>
    </row>
    <row r="24" spans="1:13" x14ac:dyDescent="0.35">
      <c r="A24" s="93">
        <v>44431</v>
      </c>
      <c r="B24"/>
      <c r="C24" s="1"/>
      <c r="D24" s="1"/>
      <c r="E24" s="1"/>
      <c r="F24" s="1"/>
      <c r="G24" s="1">
        <v>0.2</v>
      </c>
      <c r="H24" s="1"/>
      <c r="I24" s="1"/>
      <c r="J24">
        <f>(Table22456[[#This Row],[Available(SOD)]] + Table22456[[#This Row],[Add Fund]] - Table22456[[#This Row],[Withdraw Fund]]) + Table22456[[#This Row],[Total]]</f>
        <v>0.2</v>
      </c>
      <c r="K24" s="104"/>
      <c r="L24" s="105"/>
    </row>
    <row r="25" spans="1:13" x14ac:dyDescent="0.35">
      <c r="A25" s="93">
        <v>44432</v>
      </c>
      <c r="B25" s="93" t="s">
        <v>99</v>
      </c>
      <c r="C25" t="s">
        <v>123</v>
      </c>
      <c r="D25">
        <v>507</v>
      </c>
      <c r="E25">
        <v>1539.5</v>
      </c>
      <c r="F25">
        <f t="shared" si="0"/>
        <v>780526.5</v>
      </c>
      <c r="G25" s="1">
        <v>0.2</v>
      </c>
      <c r="J25">
        <f>(Table22456[[#This Row],[Available(SOD)]] + Table22456[[#This Row],[Add Fund]] - Table22456[[#This Row],[Withdraw Fund]]) + Table22456[[#This Row],[Total]]</f>
        <v>780526.7</v>
      </c>
      <c r="K25" s="88">
        <f>IF(AND(Table22456[[#This Row],[Total]] = 0,(Table22456[[#This Row],[Available(EOD)]] - G26) &lt;= 0),"NA",G26-Table22456[[#This Row],[Available(EOD)]])</f>
        <v>-829.5</v>
      </c>
      <c r="L25" s="89">
        <f>IF(Table22456[[#This Row],[Total]] = 0, "NA",(Table22456[[#This Row],[Brokerage]]/Table22456[[#This Row],[Total]])*100)</f>
        <v>-0.10627441861358966</v>
      </c>
      <c r="M25" t="s">
        <v>124</v>
      </c>
    </row>
    <row r="26" spans="1:13" x14ac:dyDescent="0.35">
      <c r="A26" s="93">
        <v>44433</v>
      </c>
      <c r="B26" s="93"/>
      <c r="F26">
        <f t="shared" si="0"/>
        <v>0</v>
      </c>
      <c r="G26">
        <v>779697.2</v>
      </c>
      <c r="J26">
        <f>(Table22456[[#This Row],[Available(SOD)]] + Table22456[[#This Row],[Add Fund]] - Table22456[[#This Row],[Withdraw Fund]]) - Table22456[[#This Row],[Total]]</f>
        <v>779697.2</v>
      </c>
      <c r="K26" s="88" t="str">
        <f>IF(AND(Table22456[[#This Row],[Total]] = 0,(Table22456[[#This Row],[Available(EOD)]] - G27) &lt;= 0),"NA",G27-Table22456[[#This Row],[Available(EOD)]])</f>
        <v>NA</v>
      </c>
      <c r="L26" s="89" t="str">
        <f>IF(Table22456[[#This Row],[Total]] = 0, "NA",(Table22456[[#This Row],[Brokerage]]/Table22456[[#This Row],[Total]])*100)</f>
        <v>NA</v>
      </c>
    </row>
    <row r="27" spans="1:13" x14ac:dyDescent="0.35">
      <c r="A27" s="93">
        <v>44434</v>
      </c>
      <c r="B27" s="93"/>
      <c r="F27">
        <f t="shared" si="0"/>
        <v>0</v>
      </c>
      <c r="G27">
        <v>779697.2</v>
      </c>
      <c r="J27">
        <f>(Table22456[[#This Row],[Available(SOD)]] + Table22456[[#This Row],[Add Fund]] - Table22456[[#This Row],[Withdraw Fund]]) - Table22456[[#This Row],[Total]]</f>
        <v>779697.2</v>
      </c>
      <c r="K27" s="88" t="str">
        <f>IF(AND(Table22456[[#This Row],[Total]] = 0,(Table22456[[#This Row],[Available(EOD)]] - G28) &lt;= 0),"NA",G28-Table22456[[#This Row],[Available(EOD)]])</f>
        <v>NA</v>
      </c>
      <c r="L27" s="89" t="str">
        <f>IF(Table22456[[#This Row],[Total]] = 0, "NA",(Table22456[[#This Row],[Brokerage]]/Table22456[[#This Row],[Total]])*100)</f>
        <v>NA</v>
      </c>
    </row>
    <row r="28" spans="1:13" x14ac:dyDescent="0.35">
      <c r="A28" s="93">
        <v>44435</v>
      </c>
      <c r="B28" s="93"/>
      <c r="G28">
        <v>779697.2</v>
      </c>
      <c r="I28">
        <v>779660</v>
      </c>
      <c r="J28">
        <f>(Table22456[[#This Row],[Available(SOD)]] + Table22456[[#This Row],[Add Fund]] - Table22456[[#This Row],[Withdraw Fund]]) + Table22456[[#This Row],[Total]]</f>
        <v>37.199999999953434</v>
      </c>
      <c r="K28" s="88" t="str">
        <f>IF(AND(Table22456[[#This Row],[Total]] = 0,(Table22456[[#This Row],[Available(EOD)]] - G29) &lt;= 0),"NA",G29-Table22456[[#This Row],[Available(EOD)]])</f>
        <v>NA</v>
      </c>
      <c r="L28" s="89" t="str">
        <f>IF(Table22456[[#This Row],[Total]] = 0, "NA",(Table22456[[#This Row],[Brokerage]]/Table22456[[#This Row],[Total]])*100)</f>
        <v>NA</v>
      </c>
    </row>
    <row r="29" spans="1:13" x14ac:dyDescent="0.35">
      <c r="A29" s="93">
        <v>44436</v>
      </c>
      <c r="B29" s="93"/>
      <c r="F29">
        <f t="shared" si="0"/>
        <v>0</v>
      </c>
      <c r="G29">
        <v>37.200000000000003</v>
      </c>
      <c r="J29">
        <f>(Table22456[[#This Row],[Available(SOD)]] + Table22456[[#This Row],[Add Fund]] - Table22456[[#This Row],[Withdraw Fund]]) - Table22456[[#This Row],[Total]]</f>
        <v>37.200000000000003</v>
      </c>
      <c r="K29" s="88" t="str">
        <f>IF(AND(Table22456[[#This Row],[Total]] = 0,(Table22456[[#This Row],[Available(EOD)]] - G30) &lt;= 0),"NA",G30-Table22456[[#This Row],[Available(EOD)]])</f>
        <v>NA</v>
      </c>
      <c r="L29" s="89" t="str">
        <f>IF(Table22456[[#This Row],[Total]] = 0, "NA",(Table22456[[#This Row],[Brokerage]]/Table22456[[#This Row],[Total]])*100)</f>
        <v>NA</v>
      </c>
    </row>
    <row r="30" spans="1:13" x14ac:dyDescent="0.35">
      <c r="A30" s="93">
        <v>44437</v>
      </c>
      <c r="B30" s="93"/>
      <c r="F30">
        <f t="shared" si="0"/>
        <v>0</v>
      </c>
      <c r="G30">
        <v>37.200000000000003</v>
      </c>
      <c r="J30">
        <f>(Table22456[[#This Row],[Available(SOD)]] + Table22456[[#This Row],[Add Fund]] - Table22456[[#This Row],[Withdraw Fund]]) - Table22456[[#This Row],[Total]]</f>
        <v>37.200000000000003</v>
      </c>
      <c r="K30" s="88" t="str">
        <f>IF(AND(Table22456[[#This Row],[Total]] = 0,(Table22456[[#This Row],[Available(EOD)]] - G31) &lt;= 0),"NA",G31-Table22456[[#This Row],[Available(EOD)]])</f>
        <v>NA</v>
      </c>
      <c r="L30" s="89" t="str">
        <f>IF(Table22456[[#This Row],[Total]] = 0, "NA",(Table22456[[#This Row],[Brokerage]]/Table22456[[#This Row],[Total]])*100)</f>
        <v>NA</v>
      </c>
    </row>
    <row r="31" spans="1:13" x14ac:dyDescent="0.35">
      <c r="A31" s="93">
        <v>44438</v>
      </c>
      <c r="B31" s="93" t="s">
        <v>99</v>
      </c>
      <c r="C31" t="s">
        <v>95</v>
      </c>
      <c r="D31">
        <v>353</v>
      </c>
      <c r="E31">
        <v>206.8</v>
      </c>
      <c r="F31">
        <f t="shared" si="0"/>
        <v>73000.400000000009</v>
      </c>
      <c r="G31">
        <v>37.200000000000003</v>
      </c>
      <c r="J31">
        <f>(Table22456[[#This Row],[Available(SOD)]] + Table22456[[#This Row],[Add Fund]] - Table22456[[#This Row],[Withdraw Fund]]) + Table22456[[#This Row],[Total]]</f>
        <v>73037.600000000006</v>
      </c>
      <c r="K31" s="88">
        <f>IF(AND(Table22456[[#This Row],[Total]] = 0,(Table22456[[#This Row],[Available(EOD)]] - G32) &lt;= 0),"NA",G32-Table22456[[#This Row],[Available(EOD)]])</f>
        <v>-92</v>
      </c>
      <c r="L31" s="89">
        <f>IF(Table22456[[#This Row],[Total]] = 0, "NA",(Table22456[[#This Row],[Brokerage]]/Table22456[[#This Row],[Total]])*100)</f>
        <v>-0.12602670670297694</v>
      </c>
    </row>
    <row r="32" spans="1:13" x14ac:dyDescent="0.35">
      <c r="A32" s="93">
        <v>44439</v>
      </c>
      <c r="B32" s="93"/>
      <c r="G32">
        <v>72945.600000000006</v>
      </c>
      <c r="J32">
        <f>(Table22456[[#This Row],[Available(SOD)]] + Table22456[[#This Row],[Add Fund]] - Table22456[[#This Row],[Withdraw Fund]]) - Table22456[[#This Row],[Total]]</f>
        <v>72945.600000000006</v>
      </c>
      <c r="K32" s="88" t="e">
        <f>IF(AND(Table22456[[#This Row],[Total]] = 0,(Table22456[[#This Row],[Available(EOD)]] -#REF!) &lt;= 0),"NA",#REF!-Table22456[[#This Row],[Available(EOD)]])</f>
        <v>#REF!</v>
      </c>
      <c r="L32" s="89" t="str">
        <f>IF(Table22456[[#This Row],[Total]] = 0, "NA",(Table22456[[#This Row],[Brokerage]]/Table22456[[#This Row],[Total]])*100)</f>
        <v>NA</v>
      </c>
    </row>
  </sheetData>
  <conditionalFormatting sqref="B13:B14 B17:B19 B9:B10 B25:B29 A2:B2 B3:B6 A3:A32 B21">
    <cfRule type="beginsWith" dxfId="38" priority="10" operator="beginsWith" text="Sunday">
      <formula>LEFT(A2,LEN("Sunday"))="Sunday"</formula>
    </cfRule>
  </conditionalFormatting>
  <conditionalFormatting sqref="B8">
    <cfRule type="beginsWith" dxfId="37" priority="9" operator="beginsWith" text="Sunday">
      <formula>LEFT(B8,LEN("Sunday"))="Sunday"</formula>
    </cfRule>
  </conditionalFormatting>
  <conditionalFormatting sqref="B16:C16 H16:I16 M16:N16">
    <cfRule type="beginsWith" dxfId="36" priority="8" operator="beginsWith" text="Sunday">
      <formula>LEFT(B16,LEN("Sunday"))="Sunday"</formula>
    </cfRule>
  </conditionalFormatting>
  <conditionalFormatting sqref="B31">
    <cfRule type="beginsWith" dxfId="35" priority="6" operator="beginsWith" text="Sunday">
      <formula>LEFT(B31,LEN("Sunday"))="Sunday"</formula>
    </cfRule>
  </conditionalFormatting>
  <conditionalFormatting sqref="B15">
    <cfRule type="beginsWith" dxfId="34" priority="5" operator="beginsWith" text="Sunday">
      <formula>LEFT(B15,LEN("Sunday"))="Sunday"</formula>
    </cfRule>
  </conditionalFormatting>
  <conditionalFormatting sqref="B22:B23">
    <cfRule type="beginsWith" dxfId="33" priority="4" operator="beginsWith" text="Sunday">
      <formula>LEFT(B22,LEN("Sunday"))="Sunday"</formula>
    </cfRule>
  </conditionalFormatting>
  <conditionalFormatting sqref="B30">
    <cfRule type="beginsWith" dxfId="32" priority="3" operator="beginsWith" text="Sunday">
      <formula>LEFT(B30,LEN("Sunday"))="Sunday"</formula>
    </cfRule>
  </conditionalFormatting>
  <conditionalFormatting sqref="B11">
    <cfRule type="beginsWith" dxfId="31" priority="2" operator="beginsWith" text="Sunday">
      <formula>LEFT(B11,LEN("Sunday"))="Sunday"</formula>
    </cfRule>
  </conditionalFormatting>
  <conditionalFormatting sqref="B20">
    <cfRule type="beginsWith" dxfId="30" priority="1" operator="beginsWith" text="Sunday">
      <formula>LEFT(B20,LEN("Sunday"))="Sunday"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2"/>
  <sheetViews>
    <sheetView topLeftCell="A13" zoomScale="80" zoomScaleNormal="80" workbookViewId="0">
      <selection activeCell="K8" sqref="K8"/>
    </sheetView>
  </sheetViews>
  <sheetFormatPr defaultRowHeight="14.5" x14ac:dyDescent="0.35"/>
  <cols>
    <col min="1" max="1" width="30.26953125" style="92" customWidth="1"/>
    <col min="2" max="2" width="10.54296875" style="92" customWidth="1"/>
    <col min="3" max="3" width="15.26953125" bestFit="1" customWidth="1"/>
    <col min="4" max="4" width="6.7265625" customWidth="1"/>
    <col min="5" max="5" width="15.54296875" customWidth="1"/>
    <col min="6" max="6" width="9.453125" bestFit="1" customWidth="1"/>
    <col min="7" max="7" width="15.1796875" customWidth="1"/>
    <col min="8" max="8" width="8.7265625" customWidth="1"/>
    <col min="9" max="9" width="9" customWidth="1"/>
    <col min="10" max="10" width="12" customWidth="1"/>
    <col min="11" max="11" width="13.08984375" customWidth="1"/>
    <col min="12" max="12" width="11.54296875" customWidth="1"/>
    <col min="13" max="13" width="87.36328125" customWidth="1"/>
    <col min="14" max="14" width="18.08984375" customWidth="1"/>
  </cols>
  <sheetData>
    <row r="1" spans="1:14" x14ac:dyDescent="0.35">
      <c r="A1" s="92" t="s">
        <v>0</v>
      </c>
      <c r="B1" s="92" t="s">
        <v>77</v>
      </c>
      <c r="C1" t="s">
        <v>66</v>
      </c>
      <c r="D1" t="s">
        <v>67</v>
      </c>
      <c r="E1" t="s">
        <v>68</v>
      </c>
      <c r="F1" t="s">
        <v>72</v>
      </c>
      <c r="G1" t="s">
        <v>69</v>
      </c>
      <c r="H1" t="s">
        <v>80</v>
      </c>
      <c r="I1" t="s">
        <v>81</v>
      </c>
      <c r="J1" t="s">
        <v>70</v>
      </c>
      <c r="K1" t="s">
        <v>73</v>
      </c>
      <c r="L1" t="s">
        <v>74</v>
      </c>
      <c r="M1" t="s">
        <v>75</v>
      </c>
      <c r="N1" t="s">
        <v>76</v>
      </c>
    </row>
    <row r="2" spans="1:14" x14ac:dyDescent="0.35">
      <c r="A2" s="93">
        <v>44440</v>
      </c>
      <c r="B2" s="93" t="s">
        <v>99</v>
      </c>
      <c r="C2" t="s">
        <v>105</v>
      </c>
      <c r="D2" s="91">
        <v>200</v>
      </c>
      <c r="E2">
        <v>37.1</v>
      </c>
      <c r="F2">
        <f>D2*E2</f>
        <v>7420</v>
      </c>
      <c r="G2">
        <v>72945.600000000006</v>
      </c>
      <c r="J2">
        <f>(Table224567[[#This Row],[Available(SOD)]] + Table224567[[#This Row],[Add Fund]] - Table224567[[#This Row],[Withdraw Fund]]) + Table224567[[#This Row],[Total]]</f>
        <v>80365.600000000006</v>
      </c>
      <c r="K2" s="88">
        <f>IF(AND(Table224567[[#This Row],[Total]] = 0,(Table224567[[#This Row],[Available(EOD)]] - G3) &lt;= 0),"NA",G3-Table224567[[#This Row],[Available(EOD)]])</f>
        <v>-23.200000000011642</v>
      </c>
      <c r="L2" s="89">
        <f>IF(Table224567[[#This Row],[Total]] = 0, "NA",(Table224567[[#This Row],[Brokerage]]/Table224567[[#This Row],[Total]])*100)</f>
        <v>-0.31266846361201672</v>
      </c>
      <c r="M2" s="107" t="s">
        <v>125</v>
      </c>
    </row>
    <row r="3" spans="1:14" x14ac:dyDescent="0.35">
      <c r="A3" s="93">
        <v>44441</v>
      </c>
      <c r="B3" s="93" t="s">
        <v>99</v>
      </c>
      <c r="C3" t="s">
        <v>105</v>
      </c>
      <c r="D3">
        <v>200</v>
      </c>
      <c r="E3">
        <v>37.5</v>
      </c>
      <c r="F3">
        <f>D3*E3</f>
        <v>7500</v>
      </c>
      <c r="G3">
        <v>80342.399999999994</v>
      </c>
      <c r="J3">
        <f>(Table224567[[#This Row],[Available(SOD)]] + Table224567[[#This Row],[Add Fund]] - Table224567[[#This Row],[Withdraw Fund]]) + Table224567[[#This Row],[Total]]</f>
        <v>87842.4</v>
      </c>
      <c r="K3" s="88">
        <f>IF(AND(Table224567[[#This Row],[Total]] = 0,(Table224567[[#This Row],[Available(EOD)]] - G4) &lt;= 0),"NA",G4-Table224567[[#This Row],[Available(EOD)]])</f>
        <v>-87842.4</v>
      </c>
      <c r="L3" s="89">
        <f>IF(Table224567[[#This Row],[Total]] = 0, "NA",(Table224567[[#This Row],[Brokerage]]/Table224567[[#This Row],[Total]])*100)</f>
        <v>-1171.232</v>
      </c>
      <c r="M3" t="s">
        <v>126</v>
      </c>
    </row>
    <row r="4" spans="1:14" x14ac:dyDescent="0.35">
      <c r="A4" s="93">
        <v>44442</v>
      </c>
      <c r="B4" s="93"/>
      <c r="F4">
        <f t="shared" ref="F4:F32" si="0">D4*E4</f>
        <v>0</v>
      </c>
      <c r="J4">
        <f>(Table224567[[#This Row],[Available(SOD)]] + Table224567[[#This Row],[Add Fund]] - Table224567[[#This Row],[Withdraw Fund]]) - Table224567[[#This Row],[Total]]</f>
        <v>0</v>
      </c>
      <c r="K4" s="88" t="str">
        <f>IF(AND(Table224567[[#This Row],[Total]] = 0,(Table224567[[#This Row],[Available(EOD)]] - G5) &lt;= 0),"NA",G5-Table224567[[#This Row],[Available(EOD)]])</f>
        <v>NA</v>
      </c>
      <c r="L4" s="89" t="str">
        <f>IF(Table224567[[#This Row],[Total]] = 0, "NA",(Table224567[[#This Row],[Brokerage]]/Table224567[[#This Row],[Total]])*100)</f>
        <v>NA</v>
      </c>
    </row>
    <row r="5" spans="1:14" x14ac:dyDescent="0.35">
      <c r="A5" s="93">
        <v>44443</v>
      </c>
      <c r="B5" s="93"/>
      <c r="F5">
        <f t="shared" si="0"/>
        <v>0</v>
      </c>
      <c r="J5">
        <f>(Table224567[[#This Row],[Available(SOD)]] + Table224567[[#This Row],[Add Fund]] - Table224567[[#This Row],[Withdraw Fund]]) - Table224567[[#This Row],[Total]]</f>
        <v>0</v>
      </c>
      <c r="K5" s="88" t="str">
        <f>IF(AND(Table224567[[#This Row],[Total]] = 0,(Table224567[[#This Row],[Available(EOD)]] - G6) &lt;= 0),"NA",G6-Table224567[[#This Row],[Available(EOD)]])</f>
        <v>NA</v>
      </c>
      <c r="L5" s="89" t="str">
        <f>IF(Table224567[[#This Row],[Total]] = 0, "NA",(Table224567[[#This Row],[Brokerage]]/Table224567[[#This Row],[Total]])*100)</f>
        <v>NA</v>
      </c>
    </row>
    <row r="6" spans="1:14" x14ac:dyDescent="0.35">
      <c r="A6" s="93">
        <v>44444</v>
      </c>
      <c r="B6" s="93"/>
      <c r="E6" s="94"/>
      <c r="F6">
        <f t="shared" si="0"/>
        <v>0</v>
      </c>
      <c r="J6">
        <f>(Table224567[[#This Row],[Available(SOD)]] + Table224567[[#This Row],[Add Fund]] - Table224567[[#This Row],[Withdraw Fund]]) - Table224567[[#This Row],[Total]]</f>
        <v>0</v>
      </c>
      <c r="K6" s="88" t="s">
        <v>96</v>
      </c>
      <c r="L6" s="99" t="str">
        <f>IF(Table224567[[#This Row],[Total]] = 0, "NA",(Table224567[[#This Row],[Brokerage]]/Table224567[[#This Row],[Total]])*100)</f>
        <v>NA</v>
      </c>
    </row>
    <row r="7" spans="1:14" x14ac:dyDescent="0.35">
      <c r="A7" s="93">
        <v>44445</v>
      </c>
      <c r="B7"/>
      <c r="F7">
        <f t="shared" si="0"/>
        <v>0</v>
      </c>
      <c r="J7">
        <f>(Table224567[[#This Row],[Available(SOD)]] + Table224567[[#This Row],[Add Fund]] - Table224567[[#This Row],[Withdraw Fund]]) + Table224567[[#This Row],[Total]]</f>
        <v>0</v>
      </c>
      <c r="K7" s="88" t="str">
        <f>IF(AND(Table224567[[#This Row],[Total]] = 0,(Table224567[[#This Row],[Available(EOD)]] - G8) &lt;= 0),"NA",G8-Table224567[[#This Row],[Available(EOD)]])</f>
        <v>NA</v>
      </c>
      <c r="L7" s="88" t="str">
        <f>IF(Table224567[[#This Row],[Total]] = 0, "NA",(Table224567[[#This Row],[Brokerage]]/Table224567[[#This Row],[Total]])*100)</f>
        <v>NA</v>
      </c>
    </row>
    <row r="8" spans="1:14" x14ac:dyDescent="0.35">
      <c r="A8" s="93">
        <v>44446</v>
      </c>
      <c r="B8" s="93"/>
      <c r="E8" s="94"/>
      <c r="F8">
        <f t="shared" si="0"/>
        <v>0</v>
      </c>
      <c r="G8">
        <v>87842.4</v>
      </c>
      <c r="I8">
        <v>87842</v>
      </c>
      <c r="J8">
        <f>(Table224567[[#This Row],[Available(SOD)]] + Table224567[[#This Row],[Add Fund]] - Table224567[[#This Row],[Withdraw Fund]]) - Table224567[[#This Row],[Total]]</f>
        <v>0.39999999999417923</v>
      </c>
      <c r="K8" s="88" t="str">
        <f>IF(AND(Table224567[[#This Row],[Total]] = 0,(Table224567[[#This Row],[Available(EOD)]] - G9) &lt;= 0),"NA",G9-Table224567[[#This Row],[Available(EOD)]])</f>
        <v>NA</v>
      </c>
      <c r="L8" s="99" t="str">
        <f>IF(Table224567[[#This Row],[Total]] = 0, "NA",(Table224567[[#This Row],[Brokerage]]/Table224567[[#This Row],[Total]])*100)</f>
        <v>NA</v>
      </c>
    </row>
    <row r="9" spans="1:14" x14ac:dyDescent="0.35">
      <c r="A9" s="93">
        <v>44447</v>
      </c>
      <c r="B9" s="93"/>
      <c r="F9">
        <f t="shared" si="0"/>
        <v>0</v>
      </c>
      <c r="G9">
        <v>0.4</v>
      </c>
      <c r="J9">
        <f>(Table224567[[#This Row],[Available(SOD)]] + Table224567[[#This Row],[Add Fund]] - Table224567[[#This Row],[Withdraw Fund]]) - Table224567[[#This Row],[Total]]</f>
        <v>0.4</v>
      </c>
      <c r="K9" s="88">
        <f>IF(AND(Table224567[[#This Row],[Total]] = 0,(Table224567[[#This Row],[Available(EOD)]] - G10) &lt;= 0),"NA",G10-Table224567[[#This Row],[Available(EOD)]])</f>
        <v>-0.4</v>
      </c>
      <c r="L9" s="89" t="str">
        <f>IF(Table224567[[#This Row],[Total]] = 0, "NA",(Table224567[[#This Row],[Brokerage]]/Table224567[[#This Row],[Total]])*100)</f>
        <v>NA</v>
      </c>
    </row>
    <row r="10" spans="1:14" x14ac:dyDescent="0.35">
      <c r="A10" s="93">
        <v>44448</v>
      </c>
      <c r="B10" s="93"/>
      <c r="F10">
        <f t="shared" si="0"/>
        <v>0</v>
      </c>
      <c r="J10">
        <f>(Table224567[[#This Row],[Available(SOD)]] + Table224567[[#This Row],[Add Fund]] - Table224567[[#This Row],[Withdraw Fund]]) - Table224567[[#This Row],[Total]]</f>
        <v>0</v>
      </c>
      <c r="K10" s="88" t="s">
        <v>96</v>
      </c>
      <c r="L10" s="89" t="str">
        <f>IF(Table224567[[#This Row],[Total]] = 0, "NA",(Table224567[[#This Row],[Brokerage]]/Table224567[[#This Row],[Total]])*100)</f>
        <v>NA</v>
      </c>
    </row>
    <row r="11" spans="1:14" x14ac:dyDescent="0.35">
      <c r="A11" s="93">
        <v>44449</v>
      </c>
      <c r="B11" s="93"/>
      <c r="F11">
        <f t="shared" si="0"/>
        <v>0</v>
      </c>
      <c r="J11">
        <f>(Table224567[[#This Row],[Available(SOD)]] + Table224567[[#This Row],[Add Fund]] - Table224567[[#This Row],[Withdraw Fund]]) - Table224567[[#This Row],[Total]]</f>
        <v>0</v>
      </c>
      <c r="K11" s="88" t="str">
        <f>IF(AND(Table224567[[#This Row],[Total]] = 0,(Table224567[[#This Row],[Available(EOD)]] - G12) &lt;= 0),"NA",G12-Table224567[[#This Row],[Available(EOD)]])</f>
        <v>NA</v>
      </c>
      <c r="L11" s="89" t="str">
        <f>IF(Table224567[[#This Row],[Total]] = 0, "NA",(Table224567[[#This Row],[Brokerage]]/Table224567[[#This Row],[Total]])*100)</f>
        <v>NA</v>
      </c>
    </row>
    <row r="12" spans="1:14" x14ac:dyDescent="0.35">
      <c r="A12" s="93">
        <v>44450</v>
      </c>
      <c r="B12"/>
      <c r="F12">
        <f t="shared" si="0"/>
        <v>0</v>
      </c>
      <c r="J12">
        <f>(Table224567[[#This Row],[Available(SOD)]] + Table224567[[#This Row],[Add Fund]] - Table224567[[#This Row],[Withdraw Fund]]) - Table224567[[#This Row],[Total]]</f>
        <v>0</v>
      </c>
      <c r="K12" s="88" t="str">
        <f>IF(AND(Table224567[[#This Row],[Total]] = 0,(Table224567[[#This Row],[Available(EOD)]] - G13) &lt;= 0),"NA",G13-Table224567[[#This Row],[Available(EOD)]])</f>
        <v>NA</v>
      </c>
      <c r="L12" s="89" t="str">
        <f>IF(Table224567[[#This Row],[Total]] = 0, "NA",(Table224567[[#This Row],[Brokerage]]/Table224567[[#This Row],[Total]])*100)</f>
        <v>NA</v>
      </c>
    </row>
    <row r="13" spans="1:14" x14ac:dyDescent="0.35">
      <c r="A13" s="93">
        <v>44451</v>
      </c>
      <c r="B13" s="93"/>
      <c r="F13">
        <f t="shared" si="0"/>
        <v>0</v>
      </c>
      <c r="J13">
        <f>(Table224567[[#This Row],[Available(SOD)]] + Table224567[[#This Row],[Add Fund]] - Table224567[[#This Row],[Withdraw Fund]]) - Table224567[[#This Row],[Total]]</f>
        <v>0</v>
      </c>
      <c r="K13" s="88" t="str">
        <f>IF(AND(Table224567[[#This Row],[Total]] = 0,(Table224567[[#This Row],[Available(EOD)]] - G14) &lt;= 0),"NA",G14-Table224567[[#This Row],[Available(EOD)]])</f>
        <v>NA</v>
      </c>
      <c r="L13" s="89" t="str">
        <f>IF(Table224567[[#This Row],[Total]] = 0, "NA",(Table224567[[#This Row],[Brokerage]]/Table224567[[#This Row],[Total]])*100)</f>
        <v>NA</v>
      </c>
    </row>
    <row r="14" spans="1:14" x14ac:dyDescent="0.35">
      <c r="A14" s="93">
        <v>44452</v>
      </c>
      <c r="B14" s="93"/>
      <c r="F14">
        <f t="shared" si="0"/>
        <v>0</v>
      </c>
      <c r="J14">
        <f>(Table224567[[#This Row],[Available(SOD)]] + Table224567[[#This Row],[Add Fund]] - Table224567[[#This Row],[Withdraw Fund]]) - Table224567[[#This Row],[Total]]</f>
        <v>0</v>
      </c>
      <c r="K14" s="88" t="str">
        <f>IF(AND(Table224567[[#This Row],[Total]] = 0,(Table224567[[#This Row],[Available(EOD)]] - G15) &lt;= 0),"NA",G15-Table224567[[#This Row],[Available(EOD)]])</f>
        <v>NA</v>
      </c>
      <c r="L14" s="89" t="str">
        <f>IF(Table224567[[#This Row],[Total]] = 0, "NA",(Table224567[[#This Row],[Brokerage]]/Table224567[[#This Row],[Total]])*100)</f>
        <v>NA</v>
      </c>
    </row>
    <row r="15" spans="1:14" x14ac:dyDescent="0.35">
      <c r="A15" s="93">
        <v>44453</v>
      </c>
      <c r="B15" s="93"/>
      <c r="F15">
        <f t="shared" si="0"/>
        <v>0</v>
      </c>
      <c r="J15">
        <f>(Table224567[[#This Row],[Available(SOD)]] + Table224567[[#This Row],[Add Fund]] - Table224567[[#This Row],[Withdraw Fund]]) - Table224567[[#This Row],[Total]]</f>
        <v>0</v>
      </c>
      <c r="K15" s="88" t="str">
        <f>IF(AND(Table224567[[#This Row],[Total]] = 0,(Table224567[[#This Row],[Available(EOD)]] - G16) &lt;= 0),"NA",G16-Table224567[[#This Row],[Available(EOD)]])</f>
        <v>NA</v>
      </c>
      <c r="L15" s="89" t="str">
        <f>IF(Table224567[[#This Row],[Total]] = 0, "NA",(Table224567[[#This Row],[Brokerage]]/Table224567[[#This Row],[Total]])*100)</f>
        <v>NA</v>
      </c>
    </row>
    <row r="16" spans="1:14" x14ac:dyDescent="0.35">
      <c r="A16" s="93">
        <v>44454</v>
      </c>
      <c r="B16" s="93"/>
      <c r="C16" s="93"/>
      <c r="F16">
        <f t="shared" si="0"/>
        <v>0</v>
      </c>
      <c r="H16" s="93"/>
      <c r="I16" s="93"/>
      <c r="J16">
        <f>(Table224567[[#This Row],[Available(SOD)]] + Table224567[[#This Row],[Add Fund]] - Table224567[[#This Row],[Withdraw Fund]]) - Table224567[[#This Row],[Total]]</f>
        <v>0</v>
      </c>
      <c r="K16" s="88" t="str">
        <f>IF(AND(Table224567[[#This Row],[Total]] = 0,(Table224567[[#This Row],[Available(EOD)]] - G17) &lt;= 0),"NA",G17-Table224567[[#This Row],[Available(EOD)]])</f>
        <v>NA</v>
      </c>
      <c r="L16" s="89" t="str">
        <f>IF(Table224567[[#This Row],[Total]] = 0, "NA",(Table224567[[#This Row],[Brokerage]]/Table224567[[#This Row],[Total]])*100)</f>
        <v>NA</v>
      </c>
      <c r="M16" s="93"/>
      <c r="N16" s="93"/>
    </row>
    <row r="17" spans="1:14" x14ac:dyDescent="0.35">
      <c r="A17" s="93">
        <v>44455</v>
      </c>
      <c r="B17" s="93"/>
      <c r="F17">
        <f t="shared" si="0"/>
        <v>0</v>
      </c>
      <c r="J17">
        <f>(Table224567[[#This Row],[Available(SOD)]] + Table224567[[#This Row],[Add Fund]] - Table224567[[#This Row],[Withdraw Fund]]) - Table224567[[#This Row],[Total]]</f>
        <v>0</v>
      </c>
      <c r="K17" s="88" t="str">
        <f>IF(AND(Table224567[[#This Row],[Total]] = 0,(Table224567[[#This Row],[Available(EOD)]] - G18) &lt;= 0),"NA",G18-Table224567[[#This Row],[Available(EOD)]])</f>
        <v>NA</v>
      </c>
      <c r="L17" s="89" t="str">
        <f>IF(Table224567[[#This Row],[Total]] = 0, "NA",(Table224567[[#This Row],[Brokerage]]/Table224567[[#This Row],[Total]])*100)</f>
        <v>NA</v>
      </c>
    </row>
    <row r="18" spans="1:14" x14ac:dyDescent="0.35">
      <c r="A18" s="93">
        <v>44456</v>
      </c>
      <c r="B18" s="93"/>
      <c r="F18">
        <f t="shared" si="0"/>
        <v>0</v>
      </c>
      <c r="J18">
        <f>(Table224567[[#This Row],[Available(SOD)]] + Table224567[[#This Row],[Add Fund]] - Table224567[[#This Row],[Withdraw Fund]]) - Table224567[[#This Row],[Total]]</f>
        <v>0</v>
      </c>
      <c r="K18" s="88" t="str">
        <f>IF(AND(Table224567[[#This Row],[Total]] = 0,(Table224567[[#This Row],[Available(EOD)]] - G19) &lt;= 0),"NA",G19-Table224567[[#This Row],[Available(EOD)]])</f>
        <v>NA</v>
      </c>
      <c r="L18" s="89" t="str">
        <f>IF(Table224567[[#This Row],[Total]] = 0, "NA",(Table224567[[#This Row],[Brokerage]]/Table224567[[#This Row],[Total]])*100)</f>
        <v>NA</v>
      </c>
    </row>
    <row r="19" spans="1:14" x14ac:dyDescent="0.35">
      <c r="A19" s="93">
        <v>44457</v>
      </c>
      <c r="B19" s="93"/>
      <c r="F19">
        <f t="shared" si="0"/>
        <v>0</v>
      </c>
      <c r="K19" s="88" t="str">
        <f>IF(AND(Table224567[[#This Row],[Total]] = 0,(Table224567[[#This Row],[Available(EOD)]] - G20) &lt;= 0),"NA",G20-Table224567[[#This Row],[Available(EOD)]])</f>
        <v>NA</v>
      </c>
      <c r="L19" s="89" t="str">
        <f>IF(Table224567[[#This Row],[Total]] = 0, "NA",(Table224567[[#This Row],[Brokerage]]/Table224567[[#This Row],[Total]])*100)</f>
        <v>NA</v>
      </c>
    </row>
    <row r="20" spans="1:14" x14ac:dyDescent="0.35">
      <c r="A20" s="93">
        <v>44458</v>
      </c>
      <c r="B20" s="93"/>
      <c r="F20">
        <f t="shared" si="0"/>
        <v>0</v>
      </c>
      <c r="J20">
        <f>(Table224567[[#This Row],[Available(SOD)]] + Table224567[[#This Row],[Add Fund]] - Table224567[[#This Row],[Withdraw Fund]]) - Table224567[[#This Row],[Total]]</f>
        <v>0</v>
      </c>
      <c r="K20" s="88" t="str">
        <f>IF(AND(Table224567[[#This Row],[Total]] = 0,(Table224567[[#This Row],[Available(EOD)]] - G21) &lt;= 0),"NA",G21-Table224567[[#This Row],[Available(EOD)]])</f>
        <v>NA</v>
      </c>
      <c r="L20" s="89" t="str">
        <f>IF(Table224567[[#This Row],[Total]] = 0, "NA",(Table224567[[#This Row],[Brokerage]]/Table224567[[#This Row],[Total]])*100)</f>
        <v>NA</v>
      </c>
    </row>
    <row r="21" spans="1:14" x14ac:dyDescent="0.35">
      <c r="A21" s="93">
        <v>44459</v>
      </c>
      <c r="B21" s="93"/>
      <c r="F21">
        <f t="shared" si="0"/>
        <v>0</v>
      </c>
      <c r="J21">
        <f>(Table224567[[#This Row],[Available(SOD)]] + Table224567[[#This Row],[Add Fund]] - Table224567[[#This Row],[Withdraw Fund]]) - Table224567[[#This Row],[Total]]</f>
        <v>0</v>
      </c>
      <c r="K21" s="88" t="str">
        <f>IF(AND(Table224567[[#This Row],[Total]] = 0,(Table224567[[#This Row],[Available(EOD)]] - G22) &lt;= 0),"NA",G22-Table224567[[#This Row],[Available(EOD)]])</f>
        <v>NA</v>
      </c>
      <c r="L21" s="89" t="str">
        <f>IF(Table224567[[#This Row],[Total]] = 0, "NA",(Table224567[[#This Row],[Brokerage]]/Table224567[[#This Row],[Total]])*100)</f>
        <v>NA</v>
      </c>
    </row>
    <row r="22" spans="1:14" x14ac:dyDescent="0.35">
      <c r="A22" s="93">
        <v>44460</v>
      </c>
      <c r="B22" s="93"/>
      <c r="F22">
        <f t="shared" si="0"/>
        <v>0</v>
      </c>
      <c r="G22">
        <v>0</v>
      </c>
      <c r="H22">
        <v>15000</v>
      </c>
      <c r="J22">
        <f>(Table224567[[#This Row],[Available(SOD)]] + Table224567[[#This Row],[Add Fund]] - Table224567[[#This Row],[Withdraw Fund]]) - Table224567[[#This Row],[Total]]</f>
        <v>15000</v>
      </c>
      <c r="K22" s="88">
        <f>IF(AND(Table224567[[#This Row],[Total]] = 0,(Table224567[[#This Row],[Available(EOD)]] - G23) &lt;= 0),"NA",G23-Table224567[[#This Row],[Available(EOD)]])</f>
        <v>-15000</v>
      </c>
      <c r="L22" s="89" t="str">
        <f>IF(Table224567[[#This Row],[Total]] = 0, "NA",(Table224567[[#This Row],[Brokerage]]/Table224567[[#This Row],[Total]])*100)</f>
        <v>NA</v>
      </c>
      <c r="N22" t="s">
        <v>127</v>
      </c>
    </row>
    <row r="23" spans="1:14" x14ac:dyDescent="0.35">
      <c r="A23" s="93">
        <v>44461</v>
      </c>
      <c r="B23" t="s">
        <v>78</v>
      </c>
      <c r="C23" s="1" t="s">
        <v>128</v>
      </c>
      <c r="D23" s="1">
        <v>51</v>
      </c>
      <c r="E23" s="1">
        <v>110.9</v>
      </c>
      <c r="F23">
        <f>D23*E23</f>
        <v>5655.9000000000005</v>
      </c>
      <c r="H23">
        <v>14911.64</v>
      </c>
      <c r="J23">
        <f>(Table224567[[#This Row],[Available(SOD)]] + Table224567[[#This Row],[Add Fund]] - Table224567[[#This Row],[Withdraw Fund]]) - Table224567[[#This Row],[Total]]</f>
        <v>9255.739999999998</v>
      </c>
      <c r="K23" s="90">
        <f>IF(AND(Table224567[[#This Row],[Total]] = 0,(Table224567[[#This Row],[Available(EOD)]] - G24) &lt;= 0),"NA",G24-Table224567[[#This Row],[Available(EOD)]])</f>
        <v>-9255.739999999998</v>
      </c>
      <c r="L23" s="89">
        <f>IF(Table224567[[#This Row],[Total]] = 0, "NA",(Table224567[[#This Row],[Brokerage]]/Table224567[[#This Row],[Total]])*100)</f>
        <v>-163.64751852048298</v>
      </c>
      <c r="M23" t="s">
        <v>129</v>
      </c>
    </row>
    <row r="24" spans="1:14" x14ac:dyDescent="0.35">
      <c r="A24" s="93">
        <v>44462</v>
      </c>
      <c r="B24" s="93"/>
      <c r="G24" s="1"/>
      <c r="H24" s="1"/>
      <c r="I24" s="1"/>
      <c r="J24">
        <f>(Table224567[[#This Row],[Available(SOD)]] + Table224567[[#This Row],[Add Fund]] - Table224567[[#This Row],[Withdraw Fund]]) + Table224567[[#This Row],[Total]]</f>
        <v>0</v>
      </c>
      <c r="K24" s="104"/>
      <c r="L24" s="105"/>
    </row>
    <row r="25" spans="1:14" x14ac:dyDescent="0.35">
      <c r="A25" s="93">
        <v>44463</v>
      </c>
      <c r="B25" s="93"/>
      <c r="F25">
        <f t="shared" si="0"/>
        <v>0</v>
      </c>
      <c r="G25" s="1"/>
      <c r="J25">
        <f>(Table224567[[#This Row],[Available(SOD)]] + Table224567[[#This Row],[Add Fund]] - Table224567[[#This Row],[Withdraw Fund]]) + Table224567[[#This Row],[Total]]</f>
        <v>0</v>
      </c>
      <c r="K25" s="88" t="str">
        <f>IF(AND(Table224567[[#This Row],[Total]] = 0,(Table224567[[#This Row],[Available(EOD)]] - G26) &lt;= 0),"NA",G26-Table224567[[#This Row],[Available(EOD)]])</f>
        <v>NA</v>
      </c>
      <c r="L25" s="89" t="str">
        <f>IF(Table224567[[#This Row],[Total]] = 0, "NA",(Table224567[[#This Row],[Brokerage]]/Table224567[[#This Row],[Total]])*100)</f>
        <v>NA</v>
      </c>
    </row>
    <row r="26" spans="1:14" x14ac:dyDescent="0.35">
      <c r="A26" s="93">
        <v>44464</v>
      </c>
      <c r="B26" s="93"/>
      <c r="F26">
        <f t="shared" si="0"/>
        <v>0</v>
      </c>
      <c r="J26">
        <f>(Table224567[[#This Row],[Available(SOD)]] + Table224567[[#This Row],[Add Fund]] - Table224567[[#This Row],[Withdraw Fund]]) - Table224567[[#This Row],[Total]]</f>
        <v>0</v>
      </c>
      <c r="K26" s="88" t="str">
        <f>IF(AND(Table224567[[#This Row],[Total]] = 0,(Table224567[[#This Row],[Available(EOD)]] - G27) &lt;= 0),"NA",G27-Table224567[[#This Row],[Available(EOD)]])</f>
        <v>NA</v>
      </c>
      <c r="L26" s="89" t="str">
        <f>IF(Table224567[[#This Row],[Total]] = 0, "NA",(Table224567[[#This Row],[Brokerage]]/Table224567[[#This Row],[Total]])*100)</f>
        <v>NA</v>
      </c>
    </row>
    <row r="27" spans="1:14" x14ac:dyDescent="0.35">
      <c r="A27" s="93">
        <v>44465</v>
      </c>
      <c r="B27" s="93"/>
      <c r="F27">
        <f t="shared" si="0"/>
        <v>0</v>
      </c>
      <c r="J27">
        <f>(Table224567[[#This Row],[Available(SOD)]] + Table224567[[#This Row],[Add Fund]] - Table224567[[#This Row],[Withdraw Fund]]) - Table224567[[#This Row],[Total]]</f>
        <v>0</v>
      </c>
      <c r="K27" s="88" t="str">
        <f>IF(AND(Table224567[[#This Row],[Total]] = 0,(Table224567[[#This Row],[Available(EOD)]] - G28) &lt;= 0),"NA",G28-Table224567[[#This Row],[Available(EOD)]])</f>
        <v>NA</v>
      </c>
      <c r="L27" s="89" t="str">
        <f>IF(Table224567[[#This Row],[Total]] = 0, "NA",(Table224567[[#This Row],[Brokerage]]/Table224567[[#This Row],[Total]])*100)</f>
        <v>NA</v>
      </c>
    </row>
    <row r="28" spans="1:14" x14ac:dyDescent="0.35">
      <c r="A28" s="93">
        <v>44466</v>
      </c>
      <c r="B28" s="93"/>
      <c r="F28">
        <f t="shared" si="0"/>
        <v>0</v>
      </c>
      <c r="J28">
        <f>(Table224567[[#This Row],[Available(SOD)]] + Table224567[[#This Row],[Add Fund]] - Table224567[[#This Row],[Withdraw Fund]]) + Table224567[[#This Row],[Total]]</f>
        <v>0</v>
      </c>
      <c r="K28" s="88" t="str">
        <f>IF(AND(Table224567[[#This Row],[Total]] = 0,(Table224567[[#This Row],[Available(EOD)]] - G29) &lt;= 0),"NA",G29-Table224567[[#This Row],[Available(EOD)]])</f>
        <v>NA</v>
      </c>
      <c r="L28" s="89" t="str">
        <f>IF(Table224567[[#This Row],[Total]] = 0, "NA",(Table224567[[#This Row],[Brokerage]]/Table224567[[#This Row],[Total]])*100)</f>
        <v>NA</v>
      </c>
    </row>
    <row r="29" spans="1:14" x14ac:dyDescent="0.35">
      <c r="A29" s="93">
        <v>44467</v>
      </c>
      <c r="B29" s="93"/>
      <c r="F29">
        <f t="shared" si="0"/>
        <v>0</v>
      </c>
      <c r="J29">
        <f>(Table224567[[#This Row],[Available(SOD)]] + Table224567[[#This Row],[Add Fund]] - Table224567[[#This Row],[Withdraw Fund]]) - Table224567[[#This Row],[Total]]</f>
        <v>0</v>
      </c>
      <c r="K29" s="88" t="str">
        <f>IF(AND(Table224567[[#This Row],[Total]] = 0,(Table224567[[#This Row],[Available(EOD)]] - G30) &lt;= 0),"NA",G30-Table224567[[#This Row],[Available(EOD)]])</f>
        <v>NA</v>
      </c>
      <c r="L29" s="89" t="str">
        <f>IF(Table224567[[#This Row],[Total]] = 0, "NA",(Table224567[[#This Row],[Brokerage]]/Table224567[[#This Row],[Total]])*100)</f>
        <v>NA</v>
      </c>
    </row>
    <row r="30" spans="1:14" x14ac:dyDescent="0.35">
      <c r="A30" s="93">
        <v>44468</v>
      </c>
      <c r="B30" s="93"/>
      <c r="F30">
        <f t="shared" si="0"/>
        <v>0</v>
      </c>
      <c r="J30">
        <f>(Table224567[[#This Row],[Available(SOD)]] + Table224567[[#This Row],[Add Fund]] - Table224567[[#This Row],[Withdraw Fund]]) - Table224567[[#This Row],[Total]]</f>
        <v>0</v>
      </c>
      <c r="K30" s="88" t="str">
        <f>IF(AND(Table224567[[#This Row],[Total]] = 0,(Table224567[[#This Row],[Available(EOD)]] - G31) &lt;= 0),"NA",G31-Table224567[[#This Row],[Available(EOD)]])</f>
        <v>NA</v>
      </c>
      <c r="L30" s="89" t="str">
        <f>IF(Table224567[[#This Row],[Total]] = 0, "NA",(Table224567[[#This Row],[Brokerage]]/Table224567[[#This Row],[Total]])*100)</f>
        <v>NA</v>
      </c>
    </row>
    <row r="31" spans="1:14" x14ac:dyDescent="0.35">
      <c r="A31" s="93">
        <v>44469</v>
      </c>
      <c r="B31" s="93"/>
      <c r="F31">
        <f t="shared" si="0"/>
        <v>0</v>
      </c>
      <c r="J31">
        <f>(Table224567[[#This Row],[Available(SOD)]] + Table224567[[#This Row],[Add Fund]] - Table224567[[#This Row],[Withdraw Fund]]) + Table224567[[#This Row],[Total]]</f>
        <v>0</v>
      </c>
      <c r="K31" s="88" t="str">
        <f>IF(AND(Table224567[[#This Row],[Total]] = 0,(Table224567[[#This Row],[Available(EOD)]] - G32) &lt;= 0),"NA",G32-Table224567[[#This Row],[Available(EOD)]])</f>
        <v>NA</v>
      </c>
      <c r="L31" s="89" t="str">
        <f>IF(Table224567[[#This Row],[Total]] = 0, "NA",(Table224567[[#This Row],[Brokerage]]/Table224567[[#This Row],[Total]])*100)</f>
        <v>NA</v>
      </c>
    </row>
    <row r="32" spans="1:14" x14ac:dyDescent="0.35">
      <c r="A32" s="93"/>
      <c r="B32" s="93"/>
      <c r="F32">
        <f t="shared" si="0"/>
        <v>0</v>
      </c>
      <c r="J32">
        <f>(Table224567[[#This Row],[Available(SOD)]] + Table224567[[#This Row],[Add Fund]] - Table224567[[#This Row],[Withdraw Fund]]) - Table224567[[#This Row],[Total]]</f>
        <v>0</v>
      </c>
      <c r="K32" s="88" t="e">
        <f>IF(AND(Table224567[[#This Row],[Total]] = 0,(Table224567[[#This Row],[Available(EOD)]] -#REF!) &lt;= 0),"NA",#REF!-Table224567[[#This Row],[Available(EOD)]])</f>
        <v>#REF!</v>
      </c>
      <c r="L32" s="89" t="str">
        <f>IF(Table224567[[#This Row],[Total]] = 0, "NA",(Table224567[[#This Row],[Brokerage]]/Table224567[[#This Row],[Total]])*100)</f>
        <v>NA</v>
      </c>
    </row>
  </sheetData>
  <conditionalFormatting sqref="B13:B14 B17:B19 B9:B10 B25:B29 A2:B2 B3:B6 B21 A3:A32">
    <cfRule type="beginsWith" dxfId="25" priority="10" operator="beginsWith" text="Sunday">
      <formula>LEFT(A2,LEN("Sunday"))="Sunday"</formula>
    </cfRule>
  </conditionalFormatting>
  <conditionalFormatting sqref="B8">
    <cfRule type="beginsWith" dxfId="24" priority="9" operator="beginsWith" text="Sunday">
      <formula>LEFT(B8,LEN("Sunday"))="Sunday"</formula>
    </cfRule>
  </conditionalFormatting>
  <conditionalFormatting sqref="B16:C16 H16:I16 M16:N16">
    <cfRule type="beginsWith" dxfId="23" priority="8" operator="beginsWith" text="Sunday">
      <formula>LEFT(B16,LEN("Sunday"))="Sunday"</formula>
    </cfRule>
  </conditionalFormatting>
  <conditionalFormatting sqref="B31">
    <cfRule type="beginsWith" dxfId="22" priority="7" operator="beginsWith" text="Sunday">
      <formula>LEFT(B31,LEN("Sunday"))="Sunday"</formula>
    </cfRule>
  </conditionalFormatting>
  <conditionalFormatting sqref="B15">
    <cfRule type="beginsWith" dxfId="21" priority="6" operator="beginsWith" text="Sunday">
      <formula>LEFT(B15,LEN("Sunday"))="Sunday"</formula>
    </cfRule>
  </conditionalFormatting>
  <conditionalFormatting sqref="B22">
    <cfRule type="beginsWith" dxfId="20" priority="5" operator="beginsWith" text="Sunday">
      <formula>LEFT(B22,LEN("Sunday"))="Sunday"</formula>
    </cfRule>
  </conditionalFormatting>
  <conditionalFormatting sqref="B30">
    <cfRule type="beginsWith" dxfId="19" priority="4" operator="beginsWith" text="Sunday">
      <formula>LEFT(B30,LEN("Sunday"))="Sunday"</formula>
    </cfRule>
  </conditionalFormatting>
  <conditionalFormatting sqref="B11">
    <cfRule type="beginsWith" dxfId="18" priority="3" operator="beginsWith" text="Sunday">
      <formula>LEFT(B11,LEN("Sunday"))="Sunday"</formula>
    </cfRule>
  </conditionalFormatting>
  <conditionalFormatting sqref="B20">
    <cfRule type="beginsWith" dxfId="17" priority="1" operator="beginsWith" text="Sunday">
      <formula>LEFT(B20,LEN("Sunday"))="Sunday"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7169-6327-4AC6-84C0-B4BF76EBA739}">
  <dimension ref="A1:N32"/>
  <sheetViews>
    <sheetView tabSelected="1" zoomScale="80" zoomScaleNormal="80" workbookViewId="0">
      <selection activeCell="J19" sqref="J19"/>
    </sheetView>
  </sheetViews>
  <sheetFormatPr defaultRowHeight="14.5" x14ac:dyDescent="0.35"/>
  <cols>
    <col min="1" max="1" width="30.26953125" style="92" customWidth="1"/>
    <col min="2" max="2" width="10.54296875" style="92" customWidth="1"/>
    <col min="3" max="3" width="15.26953125" bestFit="1" customWidth="1"/>
    <col min="4" max="4" width="6.7265625" customWidth="1"/>
    <col min="5" max="5" width="15.54296875" customWidth="1"/>
    <col min="6" max="6" width="9.453125" bestFit="1" customWidth="1"/>
    <col min="7" max="7" width="15.1796875" customWidth="1"/>
    <col min="8" max="8" width="8.7265625" customWidth="1"/>
    <col min="9" max="9" width="9" customWidth="1"/>
    <col min="10" max="10" width="12" customWidth="1"/>
    <col min="11" max="11" width="13.08984375" customWidth="1"/>
    <col min="12" max="12" width="11.54296875" customWidth="1"/>
    <col min="13" max="13" width="87.36328125" customWidth="1"/>
    <col min="14" max="14" width="18.08984375" customWidth="1"/>
  </cols>
  <sheetData>
    <row r="1" spans="1:14" x14ac:dyDescent="0.35">
      <c r="A1" s="92" t="s">
        <v>0</v>
      </c>
      <c r="B1" s="92" t="s">
        <v>77</v>
      </c>
      <c r="C1" t="s">
        <v>66</v>
      </c>
      <c r="D1" t="s">
        <v>67</v>
      </c>
      <c r="E1" t="s">
        <v>68</v>
      </c>
      <c r="F1" t="s">
        <v>72</v>
      </c>
      <c r="G1" t="s">
        <v>69</v>
      </c>
      <c r="H1" t="s">
        <v>80</v>
      </c>
      <c r="I1" t="s">
        <v>81</v>
      </c>
      <c r="J1" t="s">
        <v>70</v>
      </c>
      <c r="K1" t="s">
        <v>73</v>
      </c>
      <c r="L1" t="s">
        <v>74</v>
      </c>
      <c r="M1" t="s">
        <v>75</v>
      </c>
      <c r="N1" t="s">
        <v>76</v>
      </c>
    </row>
    <row r="2" spans="1:14" x14ac:dyDescent="0.35">
      <c r="A2" s="93">
        <v>44501</v>
      </c>
      <c r="B2" s="93"/>
      <c r="D2" s="91"/>
      <c r="K2" s="88"/>
      <c r="L2" s="89"/>
      <c r="M2" s="107"/>
    </row>
    <row r="3" spans="1:14" x14ac:dyDescent="0.35">
      <c r="A3" s="93">
        <v>44502</v>
      </c>
      <c r="B3" s="93"/>
      <c r="K3" s="88"/>
      <c r="L3" s="89"/>
    </row>
    <row r="4" spans="1:14" x14ac:dyDescent="0.35">
      <c r="A4" s="93">
        <v>44503</v>
      </c>
      <c r="B4" s="93"/>
      <c r="K4" s="88"/>
      <c r="L4" s="89"/>
    </row>
    <row r="5" spans="1:14" x14ac:dyDescent="0.35">
      <c r="A5" s="93">
        <v>44504</v>
      </c>
      <c r="B5" s="93"/>
      <c r="K5" s="88"/>
      <c r="L5" s="89"/>
    </row>
    <row r="6" spans="1:14" x14ac:dyDescent="0.35">
      <c r="A6" s="93">
        <v>44505</v>
      </c>
      <c r="B6" s="93"/>
      <c r="E6" s="94"/>
      <c r="K6" s="88"/>
      <c r="L6" s="99"/>
    </row>
    <row r="7" spans="1:14" x14ac:dyDescent="0.35">
      <c r="A7" s="93">
        <v>44506</v>
      </c>
      <c r="B7"/>
      <c r="K7" s="88"/>
      <c r="L7" s="88"/>
    </row>
    <row r="8" spans="1:14" x14ac:dyDescent="0.35">
      <c r="A8" s="93">
        <v>44507</v>
      </c>
      <c r="B8" s="93"/>
      <c r="E8" s="94"/>
      <c r="K8" s="88"/>
      <c r="L8" s="99"/>
    </row>
    <row r="9" spans="1:14" x14ac:dyDescent="0.35">
      <c r="A9" s="93">
        <v>44508</v>
      </c>
      <c r="B9" s="93"/>
      <c r="K9" s="88"/>
      <c r="L9" s="89"/>
    </row>
    <row r="10" spans="1:14" x14ac:dyDescent="0.35">
      <c r="A10" s="93">
        <v>44509</v>
      </c>
      <c r="B10" s="93"/>
      <c r="K10" s="88"/>
      <c r="L10" s="89"/>
    </row>
    <row r="11" spans="1:14" x14ac:dyDescent="0.35">
      <c r="A11" s="93">
        <v>44510</v>
      </c>
      <c r="B11" s="93"/>
      <c r="K11" s="88"/>
      <c r="L11" s="89"/>
    </row>
    <row r="12" spans="1:14" x14ac:dyDescent="0.35">
      <c r="A12" s="93">
        <v>44511</v>
      </c>
      <c r="B12"/>
      <c r="K12" s="88"/>
      <c r="L12" s="89"/>
    </row>
    <row r="13" spans="1:14" x14ac:dyDescent="0.35">
      <c r="A13" s="93">
        <v>44512</v>
      </c>
      <c r="B13" s="93" t="s">
        <v>99</v>
      </c>
      <c r="C13" t="s">
        <v>130</v>
      </c>
      <c r="D13">
        <v>471</v>
      </c>
      <c r="E13">
        <v>679.5</v>
      </c>
      <c r="F13">
        <f t="shared" ref="F13:F32" si="0">D13*E13</f>
        <v>320044.5</v>
      </c>
      <c r="G13">
        <v>0</v>
      </c>
      <c r="H13">
        <v>0</v>
      </c>
      <c r="I13">
        <v>0</v>
      </c>
      <c r="J13">
        <f>(Table2245679[[#This Row],[Available(SOD)]] + Table2245679[[#This Row],[Add Fund]] - Table2245679[[#This Row],[Withdraw Fund]]) - Table2245679[[#This Row],[Total]]</f>
        <v>-320044.5</v>
      </c>
      <c r="K13" s="88">
        <f>IF(AND(Table2245679[[#This Row],[Total]] = 0,(Table2245679[[#This Row],[Available(EOD)]] - G14) &lt;= 0),"NA",G14-Table2245679[[#This Row],[Available(EOD)]])</f>
        <v>639643.5</v>
      </c>
      <c r="L13" s="89">
        <f>IF(Table2245679[[#This Row],[Total]] = 0, "NA",(Table2245679[[#This Row],[Brokerage]]/Table2245679[[#This Row],[Total]])*100)</f>
        <v>199.86080060741554</v>
      </c>
      <c r="M13" t="s">
        <v>131</v>
      </c>
    </row>
    <row r="14" spans="1:14" x14ac:dyDescent="0.35">
      <c r="A14" s="93">
        <v>44513</v>
      </c>
      <c r="B14" s="93"/>
      <c r="F14">
        <f t="shared" si="0"/>
        <v>0</v>
      </c>
      <c r="G14">
        <v>319599</v>
      </c>
      <c r="J14">
        <f>(Table2245679[[#This Row],[Available(SOD)]] + Table2245679[[#This Row],[Add Fund]] - Table2245679[[#This Row],[Withdraw Fund]]) - Table2245679[[#This Row],[Total]]</f>
        <v>319599</v>
      </c>
      <c r="K14" s="88">
        <f>IF(AND(Table2245679[[#This Row],[Total]] = 0,(Table2245679[[#This Row],[Available(EOD)]] - G15) &lt;= 0),"NA",G15-Table2245679[[#This Row],[Available(EOD)]])</f>
        <v>-319599</v>
      </c>
      <c r="L14" s="89" t="str">
        <f>IF(Table2245679[[#This Row],[Total]] = 0, "NA",(Table2245679[[#This Row],[Brokerage]]/Table2245679[[#This Row],[Total]])*100)</f>
        <v>NA</v>
      </c>
    </row>
    <row r="15" spans="1:14" x14ac:dyDescent="0.35">
      <c r="A15" s="93">
        <v>44514</v>
      </c>
      <c r="B15" s="93"/>
      <c r="F15">
        <f t="shared" si="0"/>
        <v>0</v>
      </c>
      <c r="J15">
        <f>(Table2245679[[#This Row],[Available(SOD)]] + Table2245679[[#This Row],[Add Fund]] - Table2245679[[#This Row],[Withdraw Fund]]) - Table2245679[[#This Row],[Total]]</f>
        <v>0</v>
      </c>
      <c r="K15" s="88" t="str">
        <f>IF(AND(Table2245679[[#This Row],[Total]] = 0,(Table2245679[[#This Row],[Available(EOD)]] - G16) &lt;= 0),"NA",G16-Table2245679[[#This Row],[Available(EOD)]])</f>
        <v>NA</v>
      </c>
      <c r="L15" s="89" t="str">
        <f>IF(Table2245679[[#This Row],[Total]] = 0, "NA",(Table2245679[[#This Row],[Brokerage]]/Table2245679[[#This Row],[Total]])*100)</f>
        <v>NA</v>
      </c>
    </row>
    <row r="16" spans="1:14" x14ac:dyDescent="0.35">
      <c r="A16" s="93">
        <v>44515</v>
      </c>
      <c r="B16" s="93"/>
      <c r="C16" s="93"/>
      <c r="F16">
        <f t="shared" si="0"/>
        <v>0</v>
      </c>
      <c r="H16" s="93"/>
      <c r="I16" s="93"/>
      <c r="J16">
        <f>(Table2245679[[#This Row],[Available(SOD)]] + Table2245679[[#This Row],[Add Fund]] - Table2245679[[#This Row],[Withdraw Fund]]) - Table2245679[[#This Row],[Total]]</f>
        <v>0</v>
      </c>
      <c r="K16" s="88" t="str">
        <f>IF(AND(Table2245679[[#This Row],[Total]] = 0,(Table2245679[[#This Row],[Available(EOD)]] - G17) &lt;= 0),"NA",G17-Table2245679[[#This Row],[Available(EOD)]])</f>
        <v>NA</v>
      </c>
      <c r="L16" s="89" t="str">
        <f>IF(Table2245679[[#This Row],[Total]] = 0, "NA",(Table2245679[[#This Row],[Brokerage]]/Table2245679[[#This Row],[Total]])*100)</f>
        <v>NA</v>
      </c>
      <c r="M16" s="93"/>
      <c r="N16" s="93"/>
    </row>
    <row r="17" spans="1:14" x14ac:dyDescent="0.35">
      <c r="A17" s="93">
        <v>44516</v>
      </c>
      <c r="B17" s="93" t="s">
        <v>78</v>
      </c>
      <c r="C17" t="s">
        <v>110</v>
      </c>
      <c r="D17">
        <v>1063</v>
      </c>
      <c r="E17">
        <v>299.60000000000002</v>
      </c>
      <c r="F17">
        <f t="shared" si="0"/>
        <v>318474.80000000005</v>
      </c>
      <c r="G17">
        <v>319599</v>
      </c>
      <c r="J17">
        <f>(Table2245679[[#This Row],[Available(SOD)]] + Table2245679[[#This Row],[Add Fund]] - Table2245679[[#This Row],[Withdraw Fund]]) - Table2245679[[#This Row],[Total]]</f>
        <v>1124.1999999999534</v>
      </c>
      <c r="K17" s="88">
        <f>IF(AND(Table2245679[[#This Row],[Total]] = 0,(Table2245679[[#This Row],[Available(EOD)]] - G18) &lt;= 0),"NA",G18-Table2245679[[#This Row],[Available(EOD)]])</f>
        <v>-376.69999999995343</v>
      </c>
      <c r="L17" s="89">
        <f>IF(Table2245679[[#This Row],[Total]] = 0, "NA",(Table2245679[[#This Row],[Brokerage]]/Table2245679[[#This Row],[Total]])*100)</f>
        <v>-0.11828251403249281</v>
      </c>
    </row>
    <row r="18" spans="1:14" x14ac:dyDescent="0.35">
      <c r="A18" s="93">
        <v>44517</v>
      </c>
      <c r="B18" s="93" t="s">
        <v>99</v>
      </c>
      <c r="C18" t="s">
        <v>110</v>
      </c>
      <c r="D18">
        <v>1063</v>
      </c>
      <c r="E18">
        <v>302.2</v>
      </c>
      <c r="F18">
        <f t="shared" si="0"/>
        <v>321238.59999999998</v>
      </c>
      <c r="G18">
        <v>747.5</v>
      </c>
      <c r="J18">
        <f>(Table2245679[[#This Row],[Available(SOD)]] + Table2245679[[#This Row],[Add Fund]] - Table2245679[[#This Row],[Withdraw Fund]]) + Table2245679[[#This Row],[Total]]</f>
        <v>321986.09999999998</v>
      </c>
      <c r="K18" s="88">
        <f>IF(AND(Table2245679[[#This Row],[Total]] = 0,(Table2245679[[#This Row],[Available(EOD)]] - G19) &lt;= 0),"NA",G19-Table2245679[[#This Row],[Available(EOD)]])</f>
        <v>-321986.09999999998</v>
      </c>
      <c r="L18" s="89">
        <f>IF(Table2245679[[#This Row],[Total]] = 0, "NA",(Table2245679[[#This Row],[Brokerage]]/Table2245679[[#This Row],[Total]])*100)</f>
        <v>-100.23269308233817</v>
      </c>
    </row>
    <row r="19" spans="1:14" x14ac:dyDescent="0.35">
      <c r="A19" s="93">
        <v>44518</v>
      </c>
      <c r="B19" s="93"/>
      <c r="F19">
        <f t="shared" si="0"/>
        <v>0</v>
      </c>
      <c r="K19" s="88" t="str">
        <f>IF(AND(Table2245679[[#This Row],[Total]] = 0,(Table2245679[[#This Row],[Available(EOD)]] - G20) &lt;= 0),"NA",G20-Table2245679[[#This Row],[Available(EOD)]])</f>
        <v>NA</v>
      </c>
      <c r="L19" s="89" t="str">
        <f>IF(Table2245679[[#This Row],[Total]] = 0, "NA",(Table2245679[[#This Row],[Brokerage]]/Table2245679[[#This Row],[Total]])*100)</f>
        <v>NA</v>
      </c>
    </row>
    <row r="20" spans="1:14" x14ac:dyDescent="0.35">
      <c r="A20" s="93">
        <v>44519</v>
      </c>
      <c r="B20" s="93"/>
      <c r="F20">
        <f t="shared" si="0"/>
        <v>0</v>
      </c>
      <c r="J20">
        <f>(Table2245679[[#This Row],[Available(SOD)]] + Table2245679[[#This Row],[Add Fund]] - Table2245679[[#This Row],[Withdraw Fund]]) - Table2245679[[#This Row],[Total]]</f>
        <v>0</v>
      </c>
      <c r="K20" s="88" t="str">
        <f>IF(AND(Table2245679[[#This Row],[Total]] = 0,(Table2245679[[#This Row],[Available(EOD)]] - G21) &lt;= 0),"NA",G21-Table2245679[[#This Row],[Available(EOD)]])</f>
        <v>NA</v>
      </c>
      <c r="L20" s="89" t="str">
        <f>IF(Table2245679[[#This Row],[Total]] = 0, "NA",(Table2245679[[#This Row],[Brokerage]]/Table2245679[[#This Row],[Total]])*100)</f>
        <v>NA</v>
      </c>
    </row>
    <row r="21" spans="1:14" x14ac:dyDescent="0.35">
      <c r="A21" s="93">
        <v>44520</v>
      </c>
      <c r="B21" s="93"/>
      <c r="F21">
        <f t="shared" si="0"/>
        <v>0</v>
      </c>
      <c r="J21">
        <f>(Table2245679[[#This Row],[Available(SOD)]] + Table2245679[[#This Row],[Add Fund]] - Table2245679[[#This Row],[Withdraw Fund]]) - Table2245679[[#This Row],[Total]]</f>
        <v>0</v>
      </c>
      <c r="K21" s="88" t="str">
        <f>IF(AND(Table2245679[[#This Row],[Total]] = 0,(Table2245679[[#This Row],[Available(EOD)]] - G22) &lt;= 0),"NA",G22-Table2245679[[#This Row],[Available(EOD)]])</f>
        <v>NA</v>
      </c>
      <c r="L21" s="89" t="str">
        <f>IF(Table2245679[[#This Row],[Total]] = 0, "NA",(Table2245679[[#This Row],[Brokerage]]/Table2245679[[#This Row],[Total]])*100)</f>
        <v>NA</v>
      </c>
    </row>
    <row r="22" spans="1:14" x14ac:dyDescent="0.35">
      <c r="A22" s="93">
        <v>44521</v>
      </c>
      <c r="B22" s="93"/>
      <c r="F22">
        <f t="shared" si="0"/>
        <v>0</v>
      </c>
      <c r="G22">
        <v>0</v>
      </c>
      <c r="H22">
        <v>15000</v>
      </c>
      <c r="J22">
        <f>(Table2245679[[#This Row],[Available(SOD)]] + Table2245679[[#This Row],[Add Fund]] - Table2245679[[#This Row],[Withdraw Fund]]) - Table2245679[[#This Row],[Total]]</f>
        <v>15000</v>
      </c>
      <c r="K22" s="88">
        <f>IF(AND(Table2245679[[#This Row],[Total]] = 0,(Table2245679[[#This Row],[Available(EOD)]] - G23) &lt;= 0),"NA",G23-Table2245679[[#This Row],[Available(EOD)]])</f>
        <v>-15000</v>
      </c>
      <c r="L22" s="89" t="str">
        <f>IF(Table2245679[[#This Row],[Total]] = 0, "NA",(Table2245679[[#This Row],[Brokerage]]/Table2245679[[#This Row],[Total]])*100)</f>
        <v>NA</v>
      </c>
      <c r="N22" t="s">
        <v>127</v>
      </c>
    </row>
    <row r="23" spans="1:14" x14ac:dyDescent="0.35">
      <c r="A23" s="93">
        <v>44522</v>
      </c>
      <c r="B23" t="s">
        <v>78</v>
      </c>
      <c r="C23" s="1" t="s">
        <v>128</v>
      </c>
      <c r="D23" s="1">
        <v>51</v>
      </c>
      <c r="E23" s="1">
        <v>110.9</v>
      </c>
      <c r="F23">
        <f>D23*E23</f>
        <v>5655.9000000000005</v>
      </c>
      <c r="H23">
        <v>14911.64</v>
      </c>
      <c r="J23">
        <f>(Table2245679[[#This Row],[Available(SOD)]] + Table2245679[[#This Row],[Add Fund]] - Table2245679[[#This Row],[Withdraw Fund]]) - Table2245679[[#This Row],[Total]]</f>
        <v>9255.739999999998</v>
      </c>
      <c r="K23" s="90">
        <f>IF(AND(Table2245679[[#This Row],[Total]] = 0,(Table2245679[[#This Row],[Available(EOD)]] - G24) &lt;= 0),"NA",G24-Table2245679[[#This Row],[Available(EOD)]])</f>
        <v>-9255.739999999998</v>
      </c>
      <c r="L23" s="89">
        <f>IF(Table2245679[[#This Row],[Total]] = 0, "NA",(Table2245679[[#This Row],[Brokerage]]/Table2245679[[#This Row],[Total]])*100)</f>
        <v>-163.64751852048298</v>
      </c>
      <c r="M23" t="s">
        <v>129</v>
      </c>
    </row>
    <row r="24" spans="1:14" x14ac:dyDescent="0.35">
      <c r="A24" s="93">
        <v>44523</v>
      </c>
      <c r="B24" s="93"/>
      <c r="G24" s="1"/>
      <c r="H24" s="1"/>
      <c r="I24" s="1"/>
      <c r="J24">
        <f>(Table2245679[[#This Row],[Available(SOD)]] + Table2245679[[#This Row],[Add Fund]] - Table2245679[[#This Row],[Withdraw Fund]]) + Table2245679[[#This Row],[Total]]</f>
        <v>0</v>
      </c>
      <c r="K24" s="104"/>
      <c r="L24" s="105"/>
    </row>
    <row r="25" spans="1:14" x14ac:dyDescent="0.35">
      <c r="A25" s="93">
        <v>44524</v>
      </c>
      <c r="B25" s="93"/>
      <c r="F25">
        <f t="shared" si="0"/>
        <v>0</v>
      </c>
      <c r="G25" s="1"/>
      <c r="J25">
        <f>(Table2245679[[#This Row],[Available(SOD)]] + Table2245679[[#This Row],[Add Fund]] - Table2245679[[#This Row],[Withdraw Fund]]) + Table2245679[[#This Row],[Total]]</f>
        <v>0</v>
      </c>
      <c r="K25" s="88" t="str">
        <f>IF(AND(Table2245679[[#This Row],[Total]] = 0,(Table2245679[[#This Row],[Available(EOD)]] - G26) &lt;= 0),"NA",G26-Table2245679[[#This Row],[Available(EOD)]])</f>
        <v>NA</v>
      </c>
      <c r="L25" s="89" t="str">
        <f>IF(Table2245679[[#This Row],[Total]] = 0, "NA",(Table2245679[[#This Row],[Brokerage]]/Table2245679[[#This Row],[Total]])*100)</f>
        <v>NA</v>
      </c>
    </row>
    <row r="26" spans="1:14" x14ac:dyDescent="0.35">
      <c r="A26" s="93">
        <v>44525</v>
      </c>
      <c r="B26" s="93"/>
      <c r="F26">
        <f t="shared" si="0"/>
        <v>0</v>
      </c>
      <c r="J26">
        <f>(Table2245679[[#This Row],[Available(SOD)]] + Table2245679[[#This Row],[Add Fund]] - Table2245679[[#This Row],[Withdraw Fund]]) - Table2245679[[#This Row],[Total]]</f>
        <v>0</v>
      </c>
      <c r="K26" s="88" t="str">
        <f>IF(AND(Table2245679[[#This Row],[Total]] = 0,(Table2245679[[#This Row],[Available(EOD)]] - G27) &lt;= 0),"NA",G27-Table2245679[[#This Row],[Available(EOD)]])</f>
        <v>NA</v>
      </c>
      <c r="L26" s="89" t="str">
        <f>IF(Table2245679[[#This Row],[Total]] = 0, "NA",(Table2245679[[#This Row],[Brokerage]]/Table2245679[[#This Row],[Total]])*100)</f>
        <v>NA</v>
      </c>
    </row>
    <row r="27" spans="1:14" x14ac:dyDescent="0.35">
      <c r="A27" s="93">
        <v>44526</v>
      </c>
      <c r="B27" s="93"/>
      <c r="F27">
        <f t="shared" si="0"/>
        <v>0</v>
      </c>
      <c r="J27">
        <f>(Table2245679[[#This Row],[Available(SOD)]] + Table2245679[[#This Row],[Add Fund]] - Table2245679[[#This Row],[Withdraw Fund]]) - Table2245679[[#This Row],[Total]]</f>
        <v>0</v>
      </c>
      <c r="K27" s="88" t="str">
        <f>IF(AND(Table2245679[[#This Row],[Total]] = 0,(Table2245679[[#This Row],[Available(EOD)]] - G28) &lt;= 0),"NA",G28-Table2245679[[#This Row],[Available(EOD)]])</f>
        <v>NA</v>
      </c>
      <c r="L27" s="89" t="str">
        <f>IF(Table2245679[[#This Row],[Total]] = 0, "NA",(Table2245679[[#This Row],[Brokerage]]/Table2245679[[#This Row],[Total]])*100)</f>
        <v>NA</v>
      </c>
    </row>
    <row r="28" spans="1:14" x14ac:dyDescent="0.35">
      <c r="A28" s="93">
        <v>44527</v>
      </c>
      <c r="B28" s="93"/>
      <c r="F28">
        <f t="shared" si="0"/>
        <v>0</v>
      </c>
      <c r="J28">
        <f>(Table2245679[[#This Row],[Available(SOD)]] + Table2245679[[#This Row],[Add Fund]] - Table2245679[[#This Row],[Withdraw Fund]]) + Table2245679[[#This Row],[Total]]</f>
        <v>0</v>
      </c>
      <c r="K28" s="88" t="str">
        <f>IF(AND(Table2245679[[#This Row],[Total]] = 0,(Table2245679[[#This Row],[Available(EOD)]] - G29) &lt;= 0),"NA",G29-Table2245679[[#This Row],[Available(EOD)]])</f>
        <v>NA</v>
      </c>
      <c r="L28" s="89" t="str">
        <f>IF(Table2245679[[#This Row],[Total]] = 0, "NA",(Table2245679[[#This Row],[Brokerage]]/Table2245679[[#This Row],[Total]])*100)</f>
        <v>NA</v>
      </c>
    </row>
    <row r="29" spans="1:14" x14ac:dyDescent="0.35">
      <c r="A29" s="93">
        <v>44528</v>
      </c>
      <c r="B29" s="93"/>
      <c r="F29">
        <f t="shared" si="0"/>
        <v>0</v>
      </c>
      <c r="J29">
        <f>(Table2245679[[#This Row],[Available(SOD)]] + Table2245679[[#This Row],[Add Fund]] - Table2245679[[#This Row],[Withdraw Fund]]) - Table2245679[[#This Row],[Total]]</f>
        <v>0</v>
      </c>
      <c r="K29" s="88" t="str">
        <f>IF(AND(Table2245679[[#This Row],[Total]] = 0,(Table2245679[[#This Row],[Available(EOD)]] - G30) &lt;= 0),"NA",G30-Table2245679[[#This Row],[Available(EOD)]])</f>
        <v>NA</v>
      </c>
      <c r="L29" s="89" t="str">
        <f>IF(Table2245679[[#This Row],[Total]] = 0, "NA",(Table2245679[[#This Row],[Brokerage]]/Table2245679[[#This Row],[Total]])*100)</f>
        <v>NA</v>
      </c>
    </row>
    <row r="30" spans="1:14" x14ac:dyDescent="0.35">
      <c r="A30" s="93">
        <v>44529</v>
      </c>
      <c r="B30" s="93"/>
      <c r="F30">
        <f t="shared" si="0"/>
        <v>0</v>
      </c>
      <c r="J30">
        <f>(Table2245679[[#This Row],[Available(SOD)]] + Table2245679[[#This Row],[Add Fund]] - Table2245679[[#This Row],[Withdraw Fund]]) - Table2245679[[#This Row],[Total]]</f>
        <v>0</v>
      </c>
      <c r="K30" s="88" t="str">
        <f>IF(AND(Table2245679[[#This Row],[Total]] = 0,(Table2245679[[#This Row],[Available(EOD)]] - G31) &lt;= 0),"NA",G31-Table2245679[[#This Row],[Available(EOD)]])</f>
        <v>NA</v>
      </c>
      <c r="L30" s="89" t="str">
        <f>IF(Table2245679[[#This Row],[Total]] = 0, "NA",(Table2245679[[#This Row],[Brokerage]]/Table2245679[[#This Row],[Total]])*100)</f>
        <v>NA</v>
      </c>
    </row>
    <row r="31" spans="1:14" x14ac:dyDescent="0.35">
      <c r="A31" s="93">
        <v>44530</v>
      </c>
      <c r="B31" s="93"/>
      <c r="F31">
        <f t="shared" si="0"/>
        <v>0</v>
      </c>
      <c r="J31">
        <f>(Table2245679[[#This Row],[Available(SOD)]] + Table2245679[[#This Row],[Add Fund]] - Table2245679[[#This Row],[Withdraw Fund]]) + Table2245679[[#This Row],[Total]]</f>
        <v>0</v>
      </c>
      <c r="K31" s="88" t="str">
        <f>IF(AND(Table2245679[[#This Row],[Total]] = 0,(Table2245679[[#This Row],[Available(EOD)]] - G32) &lt;= 0),"NA",G32-Table2245679[[#This Row],[Available(EOD)]])</f>
        <v>NA</v>
      </c>
      <c r="L31" s="89" t="str">
        <f>IF(Table2245679[[#This Row],[Total]] = 0, "NA",(Table2245679[[#This Row],[Brokerage]]/Table2245679[[#This Row],[Total]])*100)</f>
        <v>NA</v>
      </c>
    </row>
    <row r="32" spans="1:14" x14ac:dyDescent="0.35">
      <c r="A32" s="93"/>
      <c r="B32" s="93"/>
      <c r="F32">
        <f t="shared" si="0"/>
        <v>0</v>
      </c>
      <c r="J32">
        <f>(Table2245679[[#This Row],[Available(SOD)]] + Table2245679[[#This Row],[Add Fund]] - Table2245679[[#This Row],[Withdraw Fund]]) - Table2245679[[#This Row],[Total]]</f>
        <v>0</v>
      </c>
      <c r="K32" s="88" t="e">
        <f>IF(AND(Table2245679[[#This Row],[Total]] = 0,(Table2245679[[#This Row],[Available(EOD)]] -#REF!) &lt;= 0),"NA",#REF!-Table2245679[[#This Row],[Available(EOD)]])</f>
        <v>#REF!</v>
      </c>
      <c r="L32" s="89" t="str">
        <f>IF(Table2245679[[#This Row],[Total]] = 0, "NA",(Table2245679[[#This Row],[Brokerage]]/Table2245679[[#This Row],[Total]])*100)</f>
        <v>NA</v>
      </c>
    </row>
  </sheetData>
  <conditionalFormatting sqref="B13:B14 B17:B19 B9:B10 B25:B29 A2:B2 B3:B6 B21 A3:A32">
    <cfRule type="beginsWith" dxfId="12" priority="9" operator="beginsWith" text="Sunday">
      <formula>LEFT(A2,LEN("Sunday"))="Sunday"</formula>
    </cfRule>
  </conditionalFormatting>
  <conditionalFormatting sqref="B8">
    <cfRule type="beginsWith" dxfId="11" priority="8" operator="beginsWith" text="Sunday">
      <formula>LEFT(B8,LEN("Sunday"))="Sunday"</formula>
    </cfRule>
  </conditionalFormatting>
  <conditionalFormatting sqref="B16:C16 H16:I16 M16:N16">
    <cfRule type="beginsWith" dxfId="10" priority="7" operator="beginsWith" text="Sunday">
      <formula>LEFT(B16,LEN("Sunday"))="Sunday"</formula>
    </cfRule>
  </conditionalFormatting>
  <conditionalFormatting sqref="B31">
    <cfRule type="beginsWith" dxfId="9" priority="6" operator="beginsWith" text="Sunday">
      <formula>LEFT(B31,LEN("Sunday"))="Sunday"</formula>
    </cfRule>
  </conditionalFormatting>
  <conditionalFormatting sqref="B15">
    <cfRule type="beginsWith" dxfId="8" priority="5" operator="beginsWith" text="Sunday">
      <formula>LEFT(B15,LEN("Sunday"))="Sunday"</formula>
    </cfRule>
  </conditionalFormatting>
  <conditionalFormatting sqref="B22">
    <cfRule type="beginsWith" dxfId="7" priority="4" operator="beginsWith" text="Sunday">
      <formula>LEFT(B22,LEN("Sunday"))="Sunday"</formula>
    </cfRule>
  </conditionalFormatting>
  <conditionalFormatting sqref="B30">
    <cfRule type="beginsWith" dxfId="6" priority="3" operator="beginsWith" text="Sunday">
      <formula>LEFT(B30,LEN("Sunday"))="Sunday"</formula>
    </cfRule>
  </conditionalFormatting>
  <conditionalFormatting sqref="B11">
    <cfRule type="beginsWith" dxfId="5" priority="2" operator="beginsWith" text="Sunday">
      <formula>LEFT(B11,LEN("Sunday"))="Sunday"</formula>
    </cfRule>
  </conditionalFormatting>
  <conditionalFormatting sqref="B20">
    <cfRule type="beginsWith" dxfId="4" priority="1" operator="beginsWith" text="Sunday">
      <formula>LEFT(B20,LEN("Sunday"))="Sunday"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T21"/>
  <sheetViews>
    <sheetView showGridLines="0" workbookViewId="0">
      <selection activeCell="B12" sqref="B12"/>
    </sheetView>
  </sheetViews>
  <sheetFormatPr defaultColWidth="8.7265625" defaultRowHeight="14.5" x14ac:dyDescent="0.35"/>
  <cols>
    <col min="1" max="6" width="8.7265625" style="40"/>
    <col min="7" max="7" width="10.7265625" style="40" bestFit="1" customWidth="1"/>
    <col min="8" max="8" width="8.7265625" style="40"/>
    <col min="9" max="9" width="8.453125" style="40" customWidth="1"/>
    <col min="10" max="10" width="6.453125" style="40" customWidth="1"/>
    <col min="11" max="11" width="3.26953125" style="40" customWidth="1"/>
    <col min="12" max="12" width="8.7265625" style="40"/>
    <col min="13" max="13" width="10.453125" style="40" customWidth="1"/>
    <col min="14" max="14" width="10.1796875" style="40" customWidth="1"/>
    <col min="15" max="15" width="10" style="40" customWidth="1"/>
    <col min="16" max="16" width="10.81640625" style="40" customWidth="1"/>
    <col min="17" max="17" width="11.7265625" style="40" customWidth="1"/>
    <col min="18" max="18" width="12.453125" style="40" customWidth="1"/>
    <col min="19" max="19" width="2.81640625" style="40" customWidth="1"/>
    <col min="20" max="16384" width="8.7265625" style="40"/>
  </cols>
  <sheetData>
    <row r="1" spans="3:20" x14ac:dyDescent="0.35">
      <c r="C1" s="61"/>
      <c r="D1" s="61"/>
      <c r="E1" s="61"/>
      <c r="F1" s="61"/>
      <c r="G1" s="61"/>
      <c r="H1" s="61"/>
      <c r="I1" s="61"/>
      <c r="J1" s="61"/>
      <c r="K1" s="109" t="s">
        <v>47</v>
      </c>
      <c r="L1" s="109"/>
      <c r="M1" s="109"/>
      <c r="N1" s="109"/>
      <c r="O1" s="109"/>
      <c r="P1" s="109"/>
      <c r="Q1" s="109"/>
      <c r="R1" s="109"/>
      <c r="S1" s="109"/>
      <c r="T1" s="61"/>
    </row>
    <row r="2" spans="3:20" x14ac:dyDescent="0.35">
      <c r="C2" s="61"/>
      <c r="D2" s="61"/>
      <c r="E2" s="61"/>
      <c r="F2" s="61"/>
      <c r="G2" s="61"/>
      <c r="H2" s="61"/>
      <c r="I2" s="61"/>
      <c r="J2" s="61"/>
      <c r="K2" s="109"/>
      <c r="L2" s="109"/>
      <c r="M2" s="109"/>
      <c r="N2" s="109"/>
      <c r="O2" s="109"/>
      <c r="P2" s="109"/>
      <c r="Q2" s="109"/>
      <c r="R2" s="109"/>
      <c r="S2" s="109"/>
      <c r="T2" s="61"/>
    </row>
    <row r="3" spans="3:20" x14ac:dyDescent="0.35"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</row>
    <row r="4" spans="3:20" x14ac:dyDescent="0.35">
      <c r="C4" s="61"/>
      <c r="D4" s="61"/>
      <c r="E4" s="61"/>
      <c r="F4" s="61"/>
      <c r="G4" s="61"/>
      <c r="H4" s="61"/>
      <c r="I4" s="61"/>
      <c r="J4" s="61"/>
      <c r="K4" s="62"/>
      <c r="L4" s="62"/>
      <c r="M4" s="62"/>
      <c r="N4" s="62"/>
      <c r="O4" s="62"/>
      <c r="P4" s="62"/>
      <c r="Q4" s="62"/>
      <c r="R4" s="62"/>
      <c r="S4" s="62"/>
      <c r="T4" s="61"/>
    </row>
    <row r="5" spans="3:20" x14ac:dyDescent="0.35">
      <c r="C5" s="61"/>
      <c r="D5" s="61"/>
      <c r="E5" s="61"/>
      <c r="F5" s="61"/>
      <c r="G5" s="61"/>
      <c r="H5" s="61"/>
      <c r="I5" s="61"/>
      <c r="J5" s="61"/>
      <c r="K5" s="62"/>
      <c r="L5" s="27" t="s">
        <v>11</v>
      </c>
      <c r="M5" s="110" t="s">
        <v>12</v>
      </c>
      <c r="N5" s="110"/>
      <c r="O5" s="110"/>
      <c r="P5" s="110"/>
      <c r="Q5" s="110"/>
      <c r="R5" s="110"/>
      <c r="S5" s="62"/>
      <c r="T5" s="61"/>
    </row>
    <row r="6" spans="3:20" x14ac:dyDescent="0.35">
      <c r="C6" s="61"/>
      <c r="D6" s="61"/>
      <c r="E6" s="61"/>
      <c r="F6" s="61"/>
      <c r="G6" s="61"/>
      <c r="H6" s="61"/>
      <c r="I6" s="61"/>
      <c r="J6" s="61"/>
      <c r="K6" s="62"/>
      <c r="L6" s="28">
        <v>1</v>
      </c>
      <c r="M6" s="108" t="s">
        <v>13</v>
      </c>
      <c r="N6" s="108"/>
      <c r="O6" s="108"/>
      <c r="P6" s="108"/>
      <c r="Q6" s="108"/>
      <c r="R6" s="108"/>
      <c r="S6" s="62"/>
      <c r="T6" s="61"/>
    </row>
    <row r="7" spans="3:20" x14ac:dyDescent="0.35">
      <c r="C7" s="61"/>
      <c r="D7" s="61"/>
      <c r="E7" s="61"/>
      <c r="F7" s="61"/>
      <c r="G7" s="61"/>
      <c r="H7" s="61"/>
      <c r="I7" s="61"/>
      <c r="J7" s="61"/>
      <c r="K7" s="62"/>
      <c r="L7" s="28">
        <v>2</v>
      </c>
      <c r="M7" s="108" t="s">
        <v>14</v>
      </c>
      <c r="N7" s="108"/>
      <c r="O7" s="108"/>
      <c r="P7" s="108"/>
      <c r="Q7" s="108"/>
      <c r="R7" s="108"/>
      <c r="S7" s="62"/>
      <c r="T7" s="61"/>
    </row>
    <row r="8" spans="3:20" x14ac:dyDescent="0.35">
      <c r="C8" s="61"/>
      <c r="D8" s="61"/>
      <c r="E8" s="61"/>
      <c r="F8" s="61"/>
      <c r="G8" s="61"/>
      <c r="H8" s="61"/>
      <c r="I8" s="61"/>
      <c r="J8" s="61"/>
      <c r="K8" s="62"/>
      <c r="L8" s="28">
        <v>3</v>
      </c>
      <c r="M8" s="108" t="s">
        <v>15</v>
      </c>
      <c r="N8" s="108"/>
      <c r="O8" s="108"/>
      <c r="P8" s="108"/>
      <c r="Q8" s="108"/>
      <c r="R8" s="108"/>
      <c r="S8" s="62"/>
      <c r="T8" s="61"/>
    </row>
    <row r="9" spans="3:20" x14ac:dyDescent="0.35">
      <c r="C9" s="61"/>
      <c r="D9" s="61"/>
      <c r="E9" s="61"/>
      <c r="F9" s="61"/>
      <c r="G9" s="61"/>
      <c r="H9" s="61"/>
      <c r="I9" s="61"/>
      <c r="J9" s="61"/>
      <c r="K9" s="62"/>
      <c r="L9" s="28">
        <v>4</v>
      </c>
      <c r="M9" s="108" t="s">
        <v>16</v>
      </c>
      <c r="N9" s="108"/>
      <c r="O9" s="108"/>
      <c r="P9" s="108"/>
      <c r="Q9" s="108"/>
      <c r="R9" s="108"/>
      <c r="S9" s="62"/>
      <c r="T9" s="61"/>
    </row>
    <row r="10" spans="3:20" x14ac:dyDescent="0.35">
      <c r="C10" s="61"/>
      <c r="D10" s="61"/>
      <c r="E10" s="61"/>
      <c r="F10" s="61"/>
      <c r="G10" s="61"/>
      <c r="H10" s="61"/>
      <c r="I10" s="61"/>
      <c r="J10" s="61"/>
      <c r="K10" s="62"/>
      <c r="L10" s="28">
        <v>5</v>
      </c>
      <c r="M10" s="108" t="s">
        <v>17</v>
      </c>
      <c r="N10" s="108"/>
      <c r="O10" s="108"/>
      <c r="P10" s="108"/>
      <c r="Q10" s="108"/>
      <c r="R10" s="108"/>
      <c r="S10" s="62"/>
      <c r="T10" s="61"/>
    </row>
    <row r="11" spans="3:20" x14ac:dyDescent="0.35">
      <c r="C11" s="61"/>
      <c r="D11" s="61"/>
      <c r="E11" s="61"/>
      <c r="F11" s="61"/>
      <c r="G11" s="61"/>
      <c r="H11" s="61"/>
      <c r="I11" s="61"/>
      <c r="J11" s="61"/>
      <c r="K11" s="62"/>
      <c r="L11" s="28">
        <v>6</v>
      </c>
      <c r="M11" s="108" t="s">
        <v>21</v>
      </c>
      <c r="N11" s="108"/>
      <c r="O11" s="108"/>
      <c r="P11" s="108"/>
      <c r="Q11" s="108"/>
      <c r="R11" s="108"/>
      <c r="S11" s="62"/>
      <c r="T11" s="61"/>
    </row>
    <row r="12" spans="3:20" x14ac:dyDescent="0.35">
      <c r="C12" s="61"/>
      <c r="D12" s="61"/>
      <c r="E12" s="61"/>
      <c r="F12" s="61"/>
      <c r="G12" s="61"/>
      <c r="H12" s="61"/>
      <c r="I12" s="61"/>
      <c r="J12" s="61"/>
      <c r="K12" s="62"/>
      <c r="L12" s="28">
        <v>7</v>
      </c>
      <c r="M12" s="108" t="s">
        <v>20</v>
      </c>
      <c r="N12" s="108"/>
      <c r="O12" s="108"/>
      <c r="P12" s="108"/>
      <c r="Q12" s="108"/>
      <c r="R12" s="108"/>
      <c r="S12" s="62"/>
      <c r="T12" s="61"/>
    </row>
    <row r="13" spans="3:20" x14ac:dyDescent="0.35">
      <c r="C13" s="61"/>
      <c r="D13" s="61"/>
      <c r="E13" s="61"/>
      <c r="F13" s="61"/>
      <c r="G13" s="61"/>
      <c r="H13" s="61"/>
      <c r="I13" s="61"/>
      <c r="J13" s="61"/>
      <c r="K13" s="62"/>
      <c r="L13" s="28">
        <v>8</v>
      </c>
      <c r="M13" s="108" t="s">
        <v>22</v>
      </c>
      <c r="N13" s="108"/>
      <c r="O13" s="108"/>
      <c r="P13" s="108"/>
      <c r="Q13" s="108"/>
      <c r="R13" s="108"/>
      <c r="S13" s="62"/>
      <c r="T13" s="61"/>
    </row>
    <row r="14" spans="3:20" x14ac:dyDescent="0.35">
      <c r="C14" s="61"/>
      <c r="D14" s="61"/>
      <c r="E14" s="61"/>
      <c r="F14" s="61"/>
      <c r="G14" s="61"/>
      <c r="H14" s="61"/>
      <c r="I14" s="61"/>
      <c r="J14" s="61"/>
      <c r="K14" s="62"/>
      <c r="L14" s="28">
        <v>9</v>
      </c>
      <c r="M14" s="108" t="s">
        <v>18</v>
      </c>
      <c r="N14" s="108"/>
      <c r="O14" s="108"/>
      <c r="P14" s="108"/>
      <c r="Q14" s="108"/>
      <c r="R14" s="108"/>
      <c r="S14" s="62"/>
      <c r="T14" s="61"/>
    </row>
    <row r="15" spans="3:20" x14ac:dyDescent="0.35">
      <c r="C15" s="61"/>
      <c r="D15" s="61"/>
      <c r="E15" s="61"/>
      <c r="F15" s="61"/>
      <c r="G15" s="61"/>
      <c r="H15" s="61"/>
      <c r="I15" s="61"/>
      <c r="J15" s="61"/>
      <c r="K15" s="62"/>
      <c r="L15" s="28">
        <v>10</v>
      </c>
      <c r="M15" s="108" t="s">
        <v>19</v>
      </c>
      <c r="N15" s="108"/>
      <c r="O15" s="108"/>
      <c r="P15" s="108"/>
      <c r="Q15" s="108"/>
      <c r="R15" s="108"/>
      <c r="S15" s="62"/>
      <c r="T15" s="61"/>
    </row>
    <row r="16" spans="3:20" x14ac:dyDescent="0.35">
      <c r="C16" s="61"/>
      <c r="D16" s="61"/>
      <c r="E16" s="61"/>
      <c r="F16" s="61"/>
      <c r="G16" s="61"/>
      <c r="H16" s="61"/>
      <c r="I16" s="61"/>
      <c r="J16" s="61"/>
      <c r="K16" s="62"/>
      <c r="L16" s="62"/>
      <c r="M16" s="62"/>
      <c r="N16" s="62"/>
      <c r="O16" s="62"/>
      <c r="P16" s="62"/>
      <c r="Q16" s="62"/>
      <c r="R16" s="62"/>
      <c r="S16" s="62"/>
      <c r="T16" s="61"/>
    </row>
    <row r="17" spans="3:20" x14ac:dyDescent="0.35"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</row>
    <row r="18" spans="3:20" x14ac:dyDescent="0.35"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</row>
    <row r="19" spans="3:20" x14ac:dyDescent="0.35"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</row>
    <row r="21" spans="3:20" x14ac:dyDescent="0.35">
      <c r="C21" s="74"/>
      <c r="E21" s="74"/>
      <c r="F21" s="74"/>
      <c r="G21" s="74"/>
      <c r="H21" s="74"/>
      <c r="I21" s="74"/>
      <c r="J21" s="74"/>
    </row>
  </sheetData>
  <mergeCells count="12">
    <mergeCell ref="M15:R15"/>
    <mergeCell ref="K1:S2"/>
    <mergeCell ref="M5:R5"/>
    <mergeCell ref="M6:R6"/>
    <mergeCell ref="M7:R7"/>
    <mergeCell ref="M8:R8"/>
    <mergeCell ref="M9:R9"/>
    <mergeCell ref="M10:R10"/>
    <mergeCell ref="M11:R11"/>
    <mergeCell ref="M12:R12"/>
    <mergeCell ref="M13:R13"/>
    <mergeCell ref="M14:R14"/>
  </mergeCells>
  <hyperlinks>
    <hyperlink ref="M6:R6" location="'Offering OR Capability Launches'!A1" display="Offering Launches - Offering/Capability Launch" xr:uid="{00000000-0004-0000-0600-000000000000}"/>
    <hyperlink ref="M7:R7" location="'Client Visits'!A1" display="Client Visits &amp; Evangelization -  Client Visits" xr:uid="{00000000-0004-0000-0600-000001000000}"/>
    <hyperlink ref="M8:R8" location="'RFP-RFI'!A1" display="Solution Support - RFP/RFI" xr:uid="{00000000-0004-0000-0600-000002000000}"/>
    <hyperlink ref="M9:R9" location="'Delivery Support'!A1" display="Delivery Support" xr:uid="{00000000-0004-0000-0600-000003000000}"/>
    <hyperlink ref="M10:R10" location="'COPs-Yammers'!A1" display="Technology Enablement - COP sessions" xr:uid="{00000000-0004-0000-0600-000004000000}"/>
    <hyperlink ref="M11:R11" location="'Technical Demos'!A1" display="Innovation &amp; Asset Development - Technical Demos" xr:uid="{00000000-0004-0000-0600-000005000000}"/>
    <hyperlink ref="M12:R12" location="Scripts!A1" display="Innovation &amp; Asset Development - Automation Scripts" xr:uid="{00000000-0004-0000-0600-000006000000}"/>
    <hyperlink ref="M13:R13" location="'POV-SBC-Innovation-Client Story'!A1" display="Innovation &amp; Asset Development - Win Story" xr:uid="{00000000-0004-0000-0600-000007000000}"/>
    <hyperlink ref="M14:R14" location="'Proof of Concepts'!A1" display="Technology Evalution &amp; Proof of Concept - POC" xr:uid="{00000000-0004-0000-0600-000008000000}"/>
    <hyperlink ref="M15:R15" location="Blogs!A1" display="Blogs &amp; Articles - Blogs" xr:uid="{00000000-0004-0000-0600-000009000000}"/>
  </hyperlinks>
  <pageMargins left="0.7" right="0.7" top="0.75" bottom="0.75" header="0.3" footer="0.3"/>
  <pageSetup orientation="portrait" horizontalDpi="90" verticalDpi="9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7"/>
  <sheetViews>
    <sheetView showGridLines="0" zoomScaleNormal="100" workbookViewId="0">
      <selection activeCell="H11" sqref="H11"/>
    </sheetView>
  </sheetViews>
  <sheetFormatPr defaultRowHeight="14.5" x14ac:dyDescent="0.35"/>
  <cols>
    <col min="2" max="2" width="7.453125" customWidth="1"/>
    <col min="3" max="3" width="11.81640625" customWidth="1"/>
    <col min="4" max="4" width="42.1796875" customWidth="1"/>
    <col min="5" max="5" width="29.54296875" customWidth="1"/>
    <col min="6" max="6" width="19.1796875" bestFit="1" customWidth="1"/>
    <col min="7" max="7" width="21.7265625" customWidth="1"/>
    <col min="8" max="8" width="18.54296875" customWidth="1"/>
    <col min="9" max="9" width="14.7265625" customWidth="1"/>
  </cols>
  <sheetData>
    <row r="1" spans="1:9" x14ac:dyDescent="0.35">
      <c r="A1" s="12"/>
      <c r="B1" s="12"/>
      <c r="C1" s="12"/>
      <c r="D1" s="12"/>
      <c r="E1" s="12"/>
      <c r="F1" s="12"/>
      <c r="G1" s="12"/>
    </row>
    <row r="2" spans="1:9" x14ac:dyDescent="0.35">
      <c r="A2" s="12"/>
      <c r="B2" s="12"/>
      <c r="C2" s="21"/>
      <c r="D2" s="12"/>
      <c r="E2" s="19"/>
      <c r="F2" s="19"/>
      <c r="G2" s="21"/>
    </row>
    <row r="3" spans="1:9" ht="29.25" customHeight="1" x14ac:dyDescent="0.35">
      <c r="A3" s="12"/>
      <c r="B3" s="31" t="s">
        <v>23</v>
      </c>
      <c r="C3" s="31" t="s">
        <v>0</v>
      </c>
      <c r="D3" s="31" t="s">
        <v>12</v>
      </c>
      <c r="E3" s="31" t="s">
        <v>26</v>
      </c>
      <c r="F3" s="31" t="s">
        <v>24</v>
      </c>
      <c r="G3" s="31" t="s">
        <v>2</v>
      </c>
      <c r="H3" s="31" t="s">
        <v>25</v>
      </c>
      <c r="I3" s="31" t="s">
        <v>43</v>
      </c>
    </row>
    <row r="4" spans="1:9" ht="26" x14ac:dyDescent="0.35">
      <c r="A4" s="12"/>
      <c r="B4" s="29">
        <v>1</v>
      </c>
      <c r="C4" s="32" t="s">
        <v>62</v>
      </c>
      <c r="D4" s="5" t="s">
        <v>63</v>
      </c>
      <c r="E4" s="5" t="s">
        <v>64</v>
      </c>
      <c r="F4" s="6" t="s">
        <v>65</v>
      </c>
      <c r="G4" s="6" t="s">
        <v>59</v>
      </c>
      <c r="H4" s="6" t="s">
        <v>53</v>
      </c>
      <c r="I4" s="6"/>
    </row>
    <row r="5" spans="1:9" x14ac:dyDescent="0.35">
      <c r="A5" s="12"/>
      <c r="B5" s="30">
        <v>2</v>
      </c>
      <c r="C5" s="32"/>
      <c r="D5" s="5"/>
      <c r="E5" s="5"/>
      <c r="F5" s="5"/>
      <c r="G5" s="5"/>
      <c r="H5" s="6"/>
      <c r="I5" s="6"/>
    </row>
    <row r="6" spans="1:9" x14ac:dyDescent="0.35">
      <c r="A6" s="12"/>
      <c r="B6" s="30">
        <v>3</v>
      </c>
      <c r="C6" s="32"/>
      <c r="D6" s="5"/>
      <c r="E6" s="5"/>
      <c r="F6" s="5"/>
      <c r="G6" s="5"/>
      <c r="H6" s="6"/>
      <c r="I6" s="6"/>
    </row>
    <row r="7" spans="1:9" x14ac:dyDescent="0.35">
      <c r="A7" s="12"/>
      <c r="B7" s="30">
        <v>4</v>
      </c>
      <c r="C7" s="32"/>
      <c r="D7" s="10"/>
      <c r="E7" s="10"/>
      <c r="F7" s="9"/>
      <c r="G7" s="6"/>
      <c r="H7" s="6"/>
      <c r="I7" s="6"/>
    </row>
    <row r="8" spans="1:9" x14ac:dyDescent="0.35">
      <c r="A8" s="12"/>
      <c r="B8" s="30">
        <v>5</v>
      </c>
      <c r="C8" s="32"/>
      <c r="D8" s="7"/>
      <c r="E8" s="7"/>
      <c r="F8" s="9"/>
      <c r="G8" s="6"/>
      <c r="H8" s="6"/>
      <c r="I8" s="6"/>
    </row>
    <row r="9" spans="1:9" x14ac:dyDescent="0.35">
      <c r="A9" s="12"/>
      <c r="B9" s="30">
        <v>6</v>
      </c>
      <c r="C9" s="32"/>
      <c r="D9" s="8"/>
      <c r="E9" s="8"/>
      <c r="F9" s="9"/>
      <c r="G9" s="6"/>
      <c r="H9" s="6"/>
      <c r="I9" s="6"/>
    </row>
    <row r="10" spans="1:9" x14ac:dyDescent="0.35">
      <c r="B10" s="30">
        <v>7</v>
      </c>
      <c r="C10" s="32"/>
      <c r="D10" s="7"/>
      <c r="E10" s="7"/>
      <c r="F10" s="9"/>
      <c r="G10" s="6"/>
      <c r="H10" s="6"/>
      <c r="I10" s="6"/>
    </row>
    <row r="11" spans="1:9" x14ac:dyDescent="0.35">
      <c r="B11" s="30">
        <v>8</v>
      </c>
      <c r="C11" s="32"/>
      <c r="D11" s="7"/>
      <c r="E11" s="7"/>
      <c r="F11" s="9"/>
      <c r="G11" s="6"/>
      <c r="H11" s="6"/>
      <c r="I11" s="6"/>
    </row>
    <row r="12" spans="1:9" x14ac:dyDescent="0.35">
      <c r="B12" s="30">
        <v>9</v>
      </c>
      <c r="C12" s="32"/>
      <c r="D12" s="7"/>
      <c r="E12" s="7"/>
      <c r="F12" s="9"/>
      <c r="G12" s="6"/>
      <c r="H12" s="6"/>
      <c r="I12" s="6"/>
    </row>
    <row r="13" spans="1:9" x14ac:dyDescent="0.35">
      <c r="B13" s="30">
        <v>10</v>
      </c>
      <c r="C13" s="32"/>
      <c r="D13" s="7"/>
      <c r="E13" s="7"/>
      <c r="F13" s="9"/>
      <c r="G13" s="6"/>
      <c r="H13" s="6"/>
      <c r="I13" s="6"/>
    </row>
    <row r="15" spans="1:9" x14ac:dyDescent="0.35">
      <c r="B15" s="37" t="s">
        <v>46</v>
      </c>
      <c r="C15" s="38"/>
      <c r="D15" s="38"/>
    </row>
    <row r="16" spans="1:9" x14ac:dyDescent="0.35">
      <c r="B16" s="78" t="s">
        <v>42</v>
      </c>
    </row>
    <row r="17" spans="2:2" x14ac:dyDescent="0.35">
      <c r="B17" s="38" t="s">
        <v>41</v>
      </c>
    </row>
  </sheetData>
  <dataValidations count="2">
    <dataValidation type="list" allowBlank="1" showInputMessage="1" showErrorMessage="1" sqref="H4:H13" xr:uid="{00000000-0002-0000-0700-000000000000}">
      <formula1>"WIP, Completed"</formula1>
    </dataValidation>
    <dataValidation type="list" allowBlank="1" showInputMessage="1" showErrorMessage="1" sqref="I4:I13" xr:uid="{00000000-0002-0000-0700-000001000000}">
      <formula1>"Week 1, Week 2, Week 3, Week 4,Week 5"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MyTrade_April21</vt:lpstr>
      <vt:lpstr>MyTrade_May21</vt:lpstr>
      <vt:lpstr>MyTrade_June21</vt:lpstr>
      <vt:lpstr>MyTrade_July21</vt:lpstr>
      <vt:lpstr>MyTrade_Aug21</vt:lpstr>
      <vt:lpstr>MyTrade_Sep21</vt:lpstr>
      <vt:lpstr>MyTrade_Nov21</vt:lpstr>
      <vt:lpstr>Index</vt:lpstr>
      <vt:lpstr>Offering OR Capability Launches</vt:lpstr>
      <vt:lpstr>Client Visits</vt:lpstr>
      <vt:lpstr>RFP-RFI</vt:lpstr>
      <vt:lpstr>Delivery Support</vt:lpstr>
      <vt:lpstr>COPs-Yammers</vt:lpstr>
      <vt:lpstr>Technical Demos</vt:lpstr>
      <vt:lpstr>Scripts</vt:lpstr>
      <vt:lpstr>Proof of Concepts</vt:lpstr>
      <vt:lpstr>POV-SBC-Innovation-Client Story</vt:lpstr>
      <vt:lpstr>Blogs</vt:lpstr>
      <vt:lpstr>Events - Communication</vt:lpstr>
      <vt:lpstr>Others</vt:lpstr>
      <vt:lpstr> Solutions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</dc:creator>
  <cp:lastModifiedBy>Prasad, Mukesh Kumar (Cognizant)</cp:lastModifiedBy>
  <dcterms:created xsi:type="dcterms:W3CDTF">2019-12-20T04:33:28Z</dcterms:created>
  <dcterms:modified xsi:type="dcterms:W3CDTF">2021-11-17T08:55:59Z</dcterms:modified>
</cp:coreProperties>
</file>